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ershingler/Documents/Speak to the Geek/"/>
    </mc:Choice>
  </mc:AlternateContent>
  <xr:revisionPtr revIDLastSave="0" documentId="13_ncr:1_{1AE4993B-BF04-E947-9D3A-53E50E8E2AD6}" xr6:coauthVersionLast="47" xr6:coauthVersionMax="47" xr10:uidLastSave="{00000000-0000-0000-0000-000000000000}"/>
  <bookViews>
    <workbookView xWindow="9460" yWindow="3120" windowWidth="26380" windowHeight="16780" xr2:uid="{799C9C5B-5E0F-ED47-9E38-B4C0C2E50BD3}"/>
  </bookViews>
  <sheets>
    <sheet name="Forecast" sheetId="4" r:id="rId1"/>
    <sheet name="Demand v Grid" sheetId="5" r:id="rId2"/>
    <sheet name="Annual Summary" sheetId="3" r:id="rId3"/>
    <sheet name="Monthly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" l="1"/>
  <c r="L23" i="4"/>
  <c r="L22" i="4"/>
  <c r="L21" i="4"/>
  <c r="L20" i="4"/>
  <c r="L19" i="4"/>
  <c r="L18" i="4"/>
  <c r="L17" i="4"/>
  <c r="L16" i="4"/>
  <c r="L15" i="4"/>
  <c r="L14" i="4"/>
  <c r="K23" i="4"/>
  <c r="K22" i="4"/>
  <c r="K21" i="4"/>
  <c r="K20" i="4"/>
  <c r="K19" i="4"/>
  <c r="K18" i="4"/>
  <c r="K17" i="4"/>
  <c r="K16" i="4"/>
  <c r="K15" i="4"/>
  <c r="K14" i="4"/>
  <c r="E15" i="4"/>
  <c r="E16" i="4" s="1"/>
  <c r="E17" i="4" s="1"/>
  <c r="E18" i="4" s="1"/>
  <c r="E19" i="4" s="1"/>
  <c r="E20" i="4" s="1"/>
  <c r="E21" i="4" s="1"/>
  <c r="E22" i="4" s="1"/>
  <c r="E23" i="4" s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D16" i="4"/>
  <c r="D17" i="4" s="1"/>
  <c r="D18" i="4" s="1"/>
  <c r="D19" i="4" s="1"/>
  <c r="D20" i="4" s="1"/>
  <c r="D21" i="4" s="1"/>
  <c r="D22" i="4" s="1"/>
  <c r="D23" i="4" s="1"/>
  <c r="C16" i="4"/>
  <c r="C17" i="4" s="1"/>
  <c r="C18" i="4" s="1"/>
  <c r="C19" i="4" s="1"/>
  <c r="C20" i="4" s="1"/>
  <c r="C21" i="4" s="1"/>
  <c r="C22" i="4" s="1"/>
  <c r="C23" i="4" s="1"/>
  <c r="D15" i="4"/>
  <c r="C15" i="4"/>
  <c r="C3" i="4"/>
  <c r="C1" i="3"/>
  <c r="H4" i="2"/>
  <c r="J4" i="2" s="1"/>
  <c r="H5" i="2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3" i="2"/>
  <c r="J3" i="2" s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D4" i="2"/>
  <c r="D5" i="2"/>
  <c r="D6" i="2"/>
  <c r="L6" i="2" s="1"/>
  <c r="D7" i="2"/>
  <c r="L7" i="2" s="1"/>
  <c r="D8" i="2"/>
  <c r="D9" i="2"/>
  <c r="D10" i="2"/>
  <c r="L10" i="2" s="1"/>
  <c r="D11" i="2"/>
  <c r="L11" i="2" s="1"/>
  <c r="D12" i="2"/>
  <c r="D13" i="2"/>
  <c r="D14" i="2"/>
  <c r="D15" i="2"/>
  <c r="D16" i="2"/>
  <c r="G3" i="2"/>
  <c r="D3" i="2"/>
  <c r="L3" i="2" s="1"/>
  <c r="K3" i="2"/>
  <c r="J5" i="2"/>
  <c r="L12" i="2" l="1"/>
  <c r="L8" i="2"/>
  <c r="L4" i="2"/>
  <c r="L9" i="2"/>
  <c r="L5" i="2"/>
  <c r="C3" i="5"/>
  <c r="C4" i="5" s="1"/>
  <c r="C6" i="5"/>
  <c r="L15" i="2"/>
  <c r="L14" i="2"/>
  <c r="L16" i="2"/>
  <c r="L13" i="2"/>
  <c r="C4" i="4" l="1"/>
  <c r="C7" i="5"/>
  <c r="C7" i="4" s="1"/>
  <c r="B4" i="3"/>
  <c r="C4" i="3" s="1"/>
  <c r="C8" i="5"/>
  <c r="I21" i="4" l="1"/>
  <c r="J21" i="4" s="1"/>
  <c r="I18" i="4"/>
  <c r="J18" i="4" s="1"/>
  <c r="I19" i="4"/>
  <c r="J19" i="4" s="1"/>
  <c r="I14" i="4"/>
  <c r="J14" i="4" s="1"/>
  <c r="I16" i="4"/>
  <c r="J16" i="4" s="1"/>
  <c r="I17" i="4"/>
  <c r="J17" i="4" s="1"/>
  <c r="I20" i="4"/>
  <c r="J20" i="4" s="1"/>
  <c r="I22" i="4"/>
  <c r="J22" i="4" s="1"/>
  <c r="I23" i="4"/>
  <c r="J23" i="4" s="1"/>
  <c r="I15" i="4"/>
  <c r="J15" i="4" s="1"/>
  <c r="F14" i="4"/>
  <c r="G14" i="4" s="1"/>
  <c r="H14" i="4" s="1"/>
  <c r="F18" i="4"/>
  <c r="F21" i="4"/>
  <c r="F15" i="4"/>
  <c r="F22" i="4"/>
  <c r="G22" i="4" s="1"/>
  <c r="F16" i="4"/>
  <c r="G16" i="4" s="1"/>
  <c r="H16" i="4" s="1"/>
  <c r="F19" i="4"/>
  <c r="G19" i="4" s="1"/>
  <c r="H19" i="4" s="1"/>
  <c r="F23" i="4"/>
  <c r="F20" i="4"/>
  <c r="G20" i="4" s="1"/>
  <c r="H20" i="4" s="1"/>
  <c r="M20" i="4" s="1"/>
  <c r="F17" i="4"/>
  <c r="G17" i="4" s="1"/>
  <c r="H17" i="4" s="1"/>
  <c r="H22" i="4" l="1"/>
  <c r="M17" i="4"/>
  <c r="M16" i="4"/>
  <c r="G18" i="4"/>
  <c r="H18" i="4" s="1"/>
  <c r="M18" i="4" s="1"/>
  <c r="M14" i="4"/>
  <c r="N14" i="4" s="1"/>
  <c r="G15" i="4"/>
  <c r="H15" i="4" s="1"/>
  <c r="M15" i="4" s="1"/>
  <c r="M19" i="4"/>
  <c r="G21" i="4"/>
  <c r="H21" i="4" s="1"/>
  <c r="G23" i="4"/>
  <c r="H23" i="4" s="1"/>
  <c r="M23" i="4" s="1"/>
  <c r="M22" i="4" l="1"/>
  <c r="N15" i="4"/>
  <c r="N16" i="4" s="1"/>
  <c r="N17" i="4" s="1"/>
  <c r="N18" i="4" s="1"/>
  <c r="N19" i="4" s="1"/>
  <c r="N20" i="4" s="1"/>
  <c r="M21" i="4"/>
  <c r="N21" i="4" l="1"/>
  <c r="N22" i="4" s="1"/>
  <c r="N23" i="4" s="1"/>
</calcChain>
</file>

<file path=xl/sharedStrings.xml><?xml version="1.0" encoding="utf-8"?>
<sst xmlns="http://schemas.openxmlformats.org/spreadsheetml/2006/main" count="76" uniqueCount="48">
  <si>
    <t>Month</t>
  </si>
  <si>
    <t>Peak (kWh)</t>
  </si>
  <si>
    <t>Off-Peak (kWh)</t>
  </si>
  <si>
    <t>Demand (kWh)</t>
  </si>
  <si>
    <t>Total Grid (kWh)</t>
  </si>
  <si>
    <t>Percentage Peak</t>
  </si>
  <si>
    <t>kWh</t>
  </si>
  <si>
    <t>Rate</t>
  </si>
  <si>
    <t>Cost without solar</t>
  </si>
  <si>
    <t>Cost</t>
  </si>
  <si>
    <t>Savings</t>
  </si>
  <si>
    <t>Actual Cost</t>
  </si>
  <si>
    <t>Year</t>
  </si>
  <si>
    <t>Bill Savings</t>
  </si>
  <si>
    <t>Initial System Cost:</t>
  </si>
  <si>
    <t>Remaining</t>
  </si>
  <si>
    <t>Remaining to break-even</t>
  </si>
  <si>
    <t>Main solar/battery bill:</t>
  </si>
  <si>
    <t>Myenergi Hub + 1x CT</t>
  </si>
  <si>
    <t>Eddi relay board + 1x CT</t>
  </si>
  <si>
    <t>Peak Rate</t>
  </si>
  <si>
    <t>Off-peak Rate</t>
  </si>
  <si>
    <t>Annual Peak Demand:</t>
  </si>
  <si>
    <t>For 2022</t>
  </si>
  <si>
    <t>Annual Peak Grid:</t>
  </si>
  <si>
    <t>Peak Grid Split:</t>
  </si>
  <si>
    <t>Annual Off-Peak Grid:</t>
  </si>
  <si>
    <t>Annual Off-Peak Demand:</t>
  </si>
  <si>
    <t>Annual Total Demand</t>
  </si>
  <si>
    <t>Rates</t>
  </si>
  <si>
    <t>Peak kWh</t>
  </si>
  <si>
    <t>Off-Peak kWh</t>
  </si>
  <si>
    <t>Parameters:</t>
  </si>
  <si>
    <t>Annual Grid Draw with Solar and Battery</t>
  </si>
  <si>
    <t>Notes</t>
  </si>
  <si>
    <t>Real Data</t>
  </si>
  <si>
    <t>Forecast</t>
  </si>
  <si>
    <t>Inflation</t>
  </si>
  <si>
    <t>Peak Split With Solar and Battery</t>
  </si>
  <si>
    <t>Estimated Peak Split Without Solar/Battery</t>
  </si>
  <si>
    <t>Export</t>
  </si>
  <si>
    <t>Export kWh</t>
  </si>
  <si>
    <t>Export Rate</t>
  </si>
  <si>
    <t>Annual Export</t>
  </si>
  <si>
    <t>Annual Demand</t>
  </si>
  <si>
    <t>Initial System Cost</t>
  </si>
  <si>
    <t>Without Solar &amp; Battery</t>
  </si>
  <si>
    <t>With Solar &amp; Battery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</si>
</sst>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_-[$£-809]* #,##0.00_-;\-[$£-809]* #,##0.00_-;_-[$£-809]* &quot;-&quot;??_-;_-@_-"/>
    <numFmt numFmtId="165" formatCode="0.0000"/>
    <numFmt numFmtId="166" formatCode="0.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B4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7" fontId="0" fillId="0" borderId="0" xfId="0" applyNumberFormat="1"/>
    <xf numFmtId="0" fontId="2" fillId="0" borderId="0" xfId="0" applyFont="1"/>
    <xf numFmtId="44" fontId="0" fillId="0" borderId="0" xfId="1" applyFont="1"/>
    <xf numFmtId="164" fontId="2" fillId="0" borderId="0" xfId="0" applyNumberFormat="1" applyFont="1"/>
    <xf numFmtId="164" fontId="0" fillId="0" borderId="0" xfId="0" applyNumberFormat="1"/>
    <xf numFmtId="44" fontId="2" fillId="0" borderId="0" xfId="1" applyFont="1"/>
    <xf numFmtId="9" fontId="0" fillId="0" borderId="0" xfId="2" applyFont="1"/>
    <xf numFmtId="0" fontId="0" fillId="0" borderId="0" xfId="2" applyNumberFormat="1" applyFont="1"/>
    <xf numFmtId="0" fontId="2" fillId="2" borderId="0" xfId="0" applyFont="1" applyFill="1"/>
    <xf numFmtId="0" fontId="0" fillId="2" borderId="0" xfId="0" applyFill="1"/>
    <xf numFmtId="44" fontId="0" fillId="2" borderId="0" xfId="1" applyFont="1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44" fontId="0" fillId="4" borderId="0" xfId="1" applyFont="1" applyFill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0" borderId="0" xfId="1" applyNumberFormat="1" applyFont="1"/>
    <xf numFmtId="44" fontId="0" fillId="6" borderId="0" xfId="1" applyFont="1" applyFill="1"/>
    <xf numFmtId="44" fontId="2" fillId="6" borderId="0" xfId="1" applyFont="1" applyFill="1"/>
    <xf numFmtId="44" fontId="0" fillId="7" borderId="0" xfId="1" applyFont="1" applyFill="1"/>
    <xf numFmtId="44" fontId="2" fillId="7" borderId="0" xfId="1" applyFont="1" applyFill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/>
    <xf numFmtId="44" fontId="3" fillId="0" borderId="0" xfId="1" applyFont="1" applyBorder="1"/>
    <xf numFmtId="0" fontId="3" fillId="0" borderId="0" xfId="0" applyFont="1"/>
    <xf numFmtId="9" fontId="3" fillId="0" borderId="0" xfId="2" applyFont="1" applyBorder="1"/>
    <xf numFmtId="0" fontId="3" fillId="0" borderId="0" xfId="1" applyNumberFormat="1" applyFont="1" applyBorder="1"/>
    <xf numFmtId="9" fontId="3" fillId="0" borderId="7" xfId="2" applyFont="1" applyBorder="1"/>
    <xf numFmtId="165" fontId="0" fillId="3" borderId="0" xfId="0" applyNumberFormat="1" applyFill="1"/>
    <xf numFmtId="0" fontId="2" fillId="0" borderId="0" xfId="1" applyNumberFormat="1" applyFont="1"/>
    <xf numFmtId="166" fontId="0" fillId="3" borderId="0" xfId="0" applyNumberFormat="1" applyFill="1"/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E8B4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Break-even</a:t>
            </a:r>
            <a:r>
              <a:rPr lang="en-GB" sz="2800" baseline="0"/>
              <a:t> Forecast</a:t>
            </a:r>
            <a:endParaRPr lang="en-GB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Forecast!$M$13</c:f>
              <c:strCache>
                <c:ptCount val="1"/>
                <c:pt idx="0">
                  <c:v> Bill Savings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Forecast!$B$14:$B$21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Forecast!$M$14:$M$21</c:f>
              <c:numCache>
                <c:formatCode>_("£"* #,##0.00_);_("£"* \(#,##0.00\);_("£"* "-"??_);_(@_)</c:formatCode>
                <c:ptCount val="8"/>
                <c:pt idx="0">
                  <c:v>531.29212319999988</c:v>
                </c:pt>
                <c:pt idx="1">
                  <c:v>1019.6619717599997</c:v>
                </c:pt>
                <c:pt idx="2">
                  <c:v>1580.8269490859993</c:v>
                </c:pt>
                <c:pt idx="3">
                  <c:v>1659.8682965402998</c:v>
                </c:pt>
                <c:pt idx="4">
                  <c:v>1742.8617113673147</c:v>
                </c:pt>
                <c:pt idx="5">
                  <c:v>1830.0047969356804</c:v>
                </c:pt>
                <c:pt idx="6">
                  <c:v>1921.5050367824642</c:v>
                </c:pt>
                <c:pt idx="7">
                  <c:v>2017.5802886215879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9-0545-9D37-022CA2B6C7AD}"/>
            </c:ext>
          </c:extLst>
        </c:ser>
        <c:ser>
          <c:idx val="1"/>
          <c:order val="1"/>
          <c:tx>
            <c:strRef>
              <c:f>Forecast!$N$13</c:f>
              <c:strCache>
                <c:ptCount val="1"/>
                <c:pt idx="0">
                  <c:v> Remaining to break-even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Forecast!$B$14:$B$21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Forecast!$N$14:$N$21</c:f>
              <c:numCache>
                <c:formatCode>_("£"* #,##0.00_);_("£"* \(#,##0.00\);_("£"* "-"??_);_(@_)</c:formatCode>
                <c:ptCount val="8"/>
                <c:pt idx="0">
                  <c:v>9524.3078768000014</c:v>
                </c:pt>
                <c:pt idx="1">
                  <c:v>8504.6459050400008</c:v>
                </c:pt>
                <c:pt idx="2">
                  <c:v>6923.8189559540015</c:v>
                </c:pt>
                <c:pt idx="3">
                  <c:v>5263.9506594137019</c:v>
                </c:pt>
                <c:pt idx="4">
                  <c:v>3521.0889480463875</c:v>
                </c:pt>
                <c:pt idx="5">
                  <c:v>1691.0841511107071</c:v>
                </c:pt>
                <c:pt idx="6">
                  <c:v>-230.42088567175711</c:v>
                </c:pt>
                <c:pt idx="7">
                  <c:v>-2248.0011742933448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9-0545-9D37-022CA2B6C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08575"/>
        <c:axId val="184304207"/>
      </c:barChart>
      <c:catAx>
        <c:axId val="18430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04207"/>
        <c:crosses val="autoZero"/>
        <c:auto val="1"/>
        <c:lblAlgn val="ctr"/>
        <c:lblOffset val="100"/>
        <c:noMultiLvlLbl val="0"/>
      </c:catAx>
      <c:valAx>
        <c:axId val="184304207"/>
        <c:scaling>
          <c:orientation val="minMax"/>
          <c:max val="10000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0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71262</xdr:colOff>
      <xdr:row>23</xdr:row>
      <xdr:rowOff>23283</xdr:rowOff>
    </xdr:from>
    <xdr:to>
      <xdr:col>14</xdr:col>
      <xdr:colOff>762001</xdr:colOff>
      <xdr:row>54</xdr:row>
      <xdr:rowOff>70555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9FEA8A-229E-05D7-7D27-A5BC598635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58A73-3675-EB48-BDCD-A984088355C5}">
  <dimension ref="B1:T23"/>
  <sheetViews>
    <sheetView tabSelected="1" zoomScale="90" zoomScaleNormal="90" workbookViewId="0">
      <selection activeCell="C3" sqref="C3"/>
    </sheetView>
  </sheetViews>
  <sheetFormatPr baseColWidth="10" defaultRowHeight="16" x14ac:dyDescent="0.2"/>
  <cols>
    <col min="1" max="1" width="3.1640625" customWidth="1"/>
    <col min="2" max="2" width="21.1640625" customWidth="1"/>
    <col min="3" max="3" width="12.1640625" bestFit="1" customWidth="1"/>
    <col min="4" max="4" width="12.83203125" bestFit="1" customWidth="1"/>
    <col min="5" max="5" width="12.83203125" customWidth="1"/>
    <col min="7" max="7" width="12.83203125" bestFit="1" customWidth="1"/>
    <col min="10" max="10" width="12.83203125" bestFit="1" customWidth="1"/>
    <col min="11" max="11" width="11.1640625" bestFit="1" customWidth="1"/>
    <col min="12" max="12" width="13" customWidth="1"/>
    <col min="13" max="13" width="12" style="3" bestFit="1" customWidth="1"/>
    <col min="14" max="14" width="23.6640625" style="3" bestFit="1" customWidth="1"/>
    <col min="16" max="16" width="3.6640625" customWidth="1"/>
    <col min="17" max="17" width="3.1640625" customWidth="1"/>
  </cols>
  <sheetData>
    <row r="1" spans="2:20" ht="17" thickBot="1" x14ac:dyDescent="0.25"/>
    <row r="2" spans="2:20" x14ac:dyDescent="0.2">
      <c r="B2" s="25" t="s">
        <v>32</v>
      </c>
      <c r="C2" s="26"/>
      <c r="D2" s="27"/>
    </row>
    <row r="3" spans="2:20" x14ac:dyDescent="0.2">
      <c r="B3" s="28" t="s">
        <v>45</v>
      </c>
      <c r="C3" s="33">
        <f>SUM(T12:T20)</f>
        <v>10055.600000000002</v>
      </c>
      <c r="D3" s="29"/>
    </row>
    <row r="4" spans="2:20" x14ac:dyDescent="0.2">
      <c r="B4" s="28" t="s">
        <v>44</v>
      </c>
      <c r="C4" s="34">
        <f>'Demand v Grid'!C4</f>
        <v>11054.699999999999</v>
      </c>
      <c r="D4" s="29" t="s">
        <v>6</v>
      </c>
    </row>
    <row r="5" spans="2:20" x14ac:dyDescent="0.2">
      <c r="B5" s="28" t="s">
        <v>43</v>
      </c>
      <c r="C5" s="34">
        <v>1210.9000000000001</v>
      </c>
      <c r="D5" s="29" t="s">
        <v>6</v>
      </c>
    </row>
    <row r="6" spans="2:20" ht="34" x14ac:dyDescent="0.2">
      <c r="B6" s="30" t="s">
        <v>39</v>
      </c>
      <c r="C6" s="35">
        <v>0.54</v>
      </c>
      <c r="D6" s="29"/>
    </row>
    <row r="7" spans="2:20" ht="34" x14ac:dyDescent="0.2">
      <c r="B7" s="30" t="s">
        <v>33</v>
      </c>
      <c r="C7" s="36">
        <f>'Demand v Grid'!C6+'Demand v Grid'!C7</f>
        <v>8187.5300000000007</v>
      </c>
      <c r="D7" s="29" t="s">
        <v>6</v>
      </c>
    </row>
    <row r="8" spans="2:20" ht="34" x14ac:dyDescent="0.2">
      <c r="B8" s="30" t="s">
        <v>38</v>
      </c>
      <c r="C8" s="35">
        <v>0.28000000000000003</v>
      </c>
      <c r="D8" s="29"/>
    </row>
    <row r="9" spans="2:20" ht="18" thickBot="1" x14ac:dyDescent="0.25">
      <c r="B9" s="31" t="s">
        <v>37</v>
      </c>
      <c r="C9" s="37">
        <v>0.05</v>
      </c>
      <c r="D9" s="32"/>
    </row>
    <row r="12" spans="2:20" x14ac:dyDescent="0.2">
      <c r="B12" s="17"/>
      <c r="C12" s="43" t="s">
        <v>29</v>
      </c>
      <c r="D12" s="43"/>
      <c r="E12" s="43"/>
      <c r="F12" s="41" t="s">
        <v>46</v>
      </c>
      <c r="G12" s="41"/>
      <c r="H12" s="41"/>
      <c r="I12" s="42" t="s">
        <v>47</v>
      </c>
      <c r="J12" s="42"/>
      <c r="K12" s="42"/>
      <c r="L12" s="42"/>
      <c r="M12" s="21"/>
      <c r="N12" s="23"/>
      <c r="O12" s="17"/>
      <c r="R12" t="s">
        <v>17</v>
      </c>
      <c r="T12">
        <v>9881.5300000000007</v>
      </c>
    </row>
    <row r="13" spans="2:20" x14ac:dyDescent="0.2">
      <c r="B13" s="19" t="s">
        <v>12</v>
      </c>
      <c r="C13" s="12" t="s">
        <v>20</v>
      </c>
      <c r="D13" s="12" t="s">
        <v>21</v>
      </c>
      <c r="E13" s="12" t="s">
        <v>42</v>
      </c>
      <c r="F13" s="9" t="s">
        <v>30</v>
      </c>
      <c r="G13" s="9" t="s">
        <v>31</v>
      </c>
      <c r="H13" s="9" t="s">
        <v>9</v>
      </c>
      <c r="I13" s="14" t="s">
        <v>30</v>
      </c>
      <c r="J13" s="14" t="s">
        <v>31</v>
      </c>
      <c r="K13" s="14" t="s">
        <v>41</v>
      </c>
      <c r="L13" s="14" t="s">
        <v>9</v>
      </c>
      <c r="M13" s="22" t="s">
        <v>13</v>
      </c>
      <c r="N13" s="24" t="s">
        <v>16</v>
      </c>
      <c r="O13" s="18" t="s">
        <v>34</v>
      </c>
      <c r="R13" t="s">
        <v>18</v>
      </c>
      <c r="T13">
        <v>108.12</v>
      </c>
    </row>
    <row r="14" spans="2:20" x14ac:dyDescent="0.2">
      <c r="B14" s="17">
        <v>2022</v>
      </c>
      <c r="C14" s="13">
        <v>0.14199999999999999</v>
      </c>
      <c r="D14" s="13">
        <v>0.05</v>
      </c>
      <c r="E14" s="13">
        <v>4.1000000000000002E-2</v>
      </c>
      <c r="F14" s="10">
        <f t="shared" ref="F14:F23" si="0">$C$4*$C$6</f>
        <v>5969.5379999999996</v>
      </c>
      <c r="G14" s="10">
        <f t="shared" ref="G14:G23" si="1">$C$4-F14</f>
        <v>5085.1619999999994</v>
      </c>
      <c r="H14" s="11">
        <f t="shared" ref="H14:H23" si="2">(F14*C14)+(G14*D14)</f>
        <v>1101.9324959999999</v>
      </c>
      <c r="I14" s="15">
        <f t="shared" ref="I14:I23" si="3">$C$7*$C$8</f>
        <v>2292.5084000000006</v>
      </c>
      <c r="J14" s="15">
        <f t="shared" ref="J14:J23" si="4">$C$7-I14</f>
        <v>5895.0216</v>
      </c>
      <c r="K14" s="15">
        <f t="shared" ref="K14:K23" si="5">$C$5</f>
        <v>1210.9000000000001</v>
      </c>
      <c r="L14" s="16">
        <f t="shared" ref="L14:L23" si="6">(I14*C14)+(J14*D14)-(K14*E14)</f>
        <v>570.64037280000002</v>
      </c>
      <c r="M14" s="21">
        <f t="shared" ref="M14:M23" si="7">H14-L14</f>
        <v>531.29212319999988</v>
      </c>
      <c r="N14" s="23">
        <f>C3-M14</f>
        <v>9524.3078768000014</v>
      </c>
      <c r="O14" s="17" t="s">
        <v>35</v>
      </c>
      <c r="R14" t="s">
        <v>19</v>
      </c>
      <c r="T14">
        <v>65.95</v>
      </c>
    </row>
    <row r="15" spans="2:20" x14ac:dyDescent="0.2">
      <c r="B15" s="17">
        <v>2023</v>
      </c>
      <c r="C15" s="38">
        <f>(0.4217+0.142)/2</f>
        <v>0.28184999999999999</v>
      </c>
      <c r="D15" s="13">
        <f>(0.12+0.05)/2</f>
        <v>8.4999999999999992E-2</v>
      </c>
      <c r="E15" s="40">
        <f t="shared" ref="E15:E23" si="8">E14*(1+$C$9)</f>
        <v>4.3050000000000005E-2</v>
      </c>
      <c r="F15" s="10">
        <f t="shared" si="0"/>
        <v>5969.5379999999996</v>
      </c>
      <c r="G15" s="10">
        <f t="shared" si="1"/>
        <v>5085.1619999999994</v>
      </c>
      <c r="H15" s="11">
        <f t="shared" si="2"/>
        <v>2114.7530552999997</v>
      </c>
      <c r="I15" s="15">
        <f t="shared" si="3"/>
        <v>2292.5084000000006</v>
      </c>
      <c r="J15" s="15">
        <f t="shared" si="4"/>
        <v>5895.0216</v>
      </c>
      <c r="K15" s="15">
        <f t="shared" si="5"/>
        <v>1210.9000000000001</v>
      </c>
      <c r="L15" s="16">
        <f t="shared" si="6"/>
        <v>1095.09108354</v>
      </c>
      <c r="M15" s="21">
        <f t="shared" si="7"/>
        <v>1019.6619717599997</v>
      </c>
      <c r="N15" s="23">
        <f>N14-M15</f>
        <v>8504.6459050400008</v>
      </c>
      <c r="O15" s="17" t="s">
        <v>36</v>
      </c>
    </row>
    <row r="16" spans="2:20" x14ac:dyDescent="0.2">
      <c r="B16" s="17">
        <v>2024</v>
      </c>
      <c r="C16" s="38">
        <f>0.4217*(1+$C$9)</f>
        <v>0.44278500000000004</v>
      </c>
      <c r="D16" s="13">
        <f>0.12*(1+$C$9)</f>
        <v>0.126</v>
      </c>
      <c r="E16" s="40">
        <f t="shared" si="8"/>
        <v>4.5202500000000007E-2</v>
      </c>
      <c r="F16" s="10">
        <f t="shared" si="0"/>
        <v>5969.5379999999996</v>
      </c>
      <c r="G16" s="10">
        <f t="shared" si="1"/>
        <v>5085.1619999999994</v>
      </c>
      <c r="H16" s="11">
        <f t="shared" si="2"/>
        <v>3283.9522953299997</v>
      </c>
      <c r="I16" s="15">
        <f t="shared" si="3"/>
        <v>2292.5084000000006</v>
      </c>
      <c r="J16" s="15">
        <f t="shared" si="4"/>
        <v>5895.0216</v>
      </c>
      <c r="K16" s="15">
        <f t="shared" si="5"/>
        <v>1210.9000000000001</v>
      </c>
      <c r="L16" s="16">
        <f t="shared" si="6"/>
        <v>1703.1253462440004</v>
      </c>
      <c r="M16" s="21">
        <f t="shared" si="7"/>
        <v>1580.8269490859993</v>
      </c>
      <c r="N16" s="23">
        <f t="shared" ref="N16:N21" si="9">N15-M16</f>
        <v>6923.8189559540015</v>
      </c>
      <c r="O16" s="17" t="s">
        <v>36</v>
      </c>
    </row>
    <row r="17" spans="2:18" x14ac:dyDescent="0.2">
      <c r="B17" s="17">
        <v>2025</v>
      </c>
      <c r="C17" s="38">
        <f>C16*(1+$C$9)</f>
        <v>0.46492425000000004</v>
      </c>
      <c r="D17" s="13">
        <f>D16*(1+$C$9)</f>
        <v>0.1323</v>
      </c>
      <c r="E17" s="40">
        <f t="shared" si="8"/>
        <v>4.7462625000000008E-2</v>
      </c>
      <c r="F17" s="10">
        <f t="shared" si="0"/>
        <v>5969.5379999999996</v>
      </c>
      <c r="G17" s="10">
        <f t="shared" si="1"/>
        <v>5085.1619999999994</v>
      </c>
      <c r="H17" s="11">
        <f t="shared" si="2"/>
        <v>3448.1499100965002</v>
      </c>
      <c r="I17" s="15">
        <f t="shared" si="3"/>
        <v>2292.5084000000006</v>
      </c>
      <c r="J17" s="15">
        <f t="shared" si="4"/>
        <v>5895.0216</v>
      </c>
      <c r="K17" s="15">
        <f t="shared" si="5"/>
        <v>1210.9000000000001</v>
      </c>
      <c r="L17" s="16">
        <f t="shared" si="6"/>
        <v>1788.2816135562005</v>
      </c>
      <c r="M17" s="21">
        <f t="shared" si="7"/>
        <v>1659.8682965402998</v>
      </c>
      <c r="N17" s="23">
        <f t="shared" si="9"/>
        <v>5263.9506594137019</v>
      </c>
      <c r="O17" s="17" t="s">
        <v>36</v>
      </c>
      <c r="R17" s="2"/>
    </row>
    <row r="18" spans="2:18" x14ac:dyDescent="0.2">
      <c r="B18" s="17">
        <v>2026</v>
      </c>
      <c r="C18" s="38">
        <f t="shared" ref="C18:C22" si="10">C17*(1+$C$9)</f>
        <v>0.48817046250000007</v>
      </c>
      <c r="D18" s="38">
        <f t="shared" ref="D18:D22" si="11">D17*(1+$C$9)</f>
        <v>0.13891500000000001</v>
      </c>
      <c r="E18" s="40">
        <f t="shared" si="8"/>
        <v>4.9835756250000009E-2</v>
      </c>
      <c r="F18" s="10">
        <f t="shared" si="0"/>
        <v>5969.5379999999996</v>
      </c>
      <c r="G18" s="10">
        <f t="shared" si="1"/>
        <v>5085.1619999999994</v>
      </c>
      <c r="H18" s="11">
        <f t="shared" si="2"/>
        <v>3620.5574056013252</v>
      </c>
      <c r="I18" s="15">
        <f t="shared" si="3"/>
        <v>2292.5084000000006</v>
      </c>
      <c r="J18" s="15">
        <f t="shared" si="4"/>
        <v>5895.0216</v>
      </c>
      <c r="K18" s="15">
        <f t="shared" si="5"/>
        <v>1210.9000000000001</v>
      </c>
      <c r="L18" s="16">
        <f t="shared" si="6"/>
        <v>1877.6956942340105</v>
      </c>
      <c r="M18" s="21">
        <f t="shared" si="7"/>
        <v>1742.8617113673147</v>
      </c>
      <c r="N18" s="23">
        <f t="shared" si="9"/>
        <v>3521.0889480463875</v>
      </c>
      <c r="O18" s="17" t="s">
        <v>36</v>
      </c>
    </row>
    <row r="19" spans="2:18" x14ac:dyDescent="0.2">
      <c r="B19" s="17">
        <v>2027</v>
      </c>
      <c r="C19" s="38">
        <f t="shared" si="10"/>
        <v>0.51257898562500004</v>
      </c>
      <c r="D19" s="38">
        <f t="shared" si="11"/>
        <v>0.14586075000000001</v>
      </c>
      <c r="E19" s="40">
        <f t="shared" si="8"/>
        <v>5.2327544062500009E-2</v>
      </c>
      <c r="F19" s="10">
        <f t="shared" si="0"/>
        <v>5969.5379999999996</v>
      </c>
      <c r="G19" s="10">
        <f t="shared" si="1"/>
        <v>5085.1619999999994</v>
      </c>
      <c r="H19" s="11">
        <f t="shared" si="2"/>
        <v>3801.5852758813912</v>
      </c>
      <c r="I19" s="15">
        <f t="shared" si="3"/>
        <v>2292.5084000000006</v>
      </c>
      <c r="J19" s="15">
        <f t="shared" si="4"/>
        <v>5895.0216</v>
      </c>
      <c r="K19" s="15">
        <f t="shared" si="5"/>
        <v>1210.9000000000001</v>
      </c>
      <c r="L19" s="16">
        <f t="shared" si="6"/>
        <v>1971.5804789457109</v>
      </c>
      <c r="M19" s="21">
        <f t="shared" si="7"/>
        <v>1830.0047969356804</v>
      </c>
      <c r="N19" s="23">
        <f t="shared" si="9"/>
        <v>1691.0841511107071</v>
      </c>
      <c r="O19" s="17" t="s">
        <v>36</v>
      </c>
    </row>
    <row r="20" spans="2:18" x14ac:dyDescent="0.2">
      <c r="B20" s="17">
        <v>2028</v>
      </c>
      <c r="C20" s="38">
        <f t="shared" si="10"/>
        <v>0.53820793490625007</v>
      </c>
      <c r="D20" s="38">
        <f t="shared" si="11"/>
        <v>0.15315378750000003</v>
      </c>
      <c r="E20" s="40">
        <f t="shared" si="8"/>
        <v>5.4943921265625015E-2</v>
      </c>
      <c r="F20" s="10">
        <f t="shared" si="0"/>
        <v>5969.5379999999996</v>
      </c>
      <c r="G20" s="10">
        <f t="shared" si="1"/>
        <v>5085.1619999999994</v>
      </c>
      <c r="H20" s="11">
        <f t="shared" si="2"/>
        <v>3991.6645396754611</v>
      </c>
      <c r="I20" s="15">
        <f t="shared" si="3"/>
        <v>2292.5084000000006</v>
      </c>
      <c r="J20" s="15">
        <f t="shared" si="4"/>
        <v>5895.0216</v>
      </c>
      <c r="K20" s="15">
        <f t="shared" si="5"/>
        <v>1210.9000000000001</v>
      </c>
      <c r="L20" s="16">
        <f t="shared" si="6"/>
        <v>2070.1595028929969</v>
      </c>
      <c r="M20" s="21">
        <f t="shared" si="7"/>
        <v>1921.5050367824642</v>
      </c>
      <c r="N20" s="23">
        <f t="shared" si="9"/>
        <v>-230.42088567175711</v>
      </c>
      <c r="O20" s="17" t="s">
        <v>36</v>
      </c>
    </row>
    <row r="21" spans="2:18" x14ac:dyDescent="0.2">
      <c r="B21" s="17">
        <v>2029</v>
      </c>
      <c r="C21" s="38">
        <f t="shared" si="10"/>
        <v>0.56511833165156256</v>
      </c>
      <c r="D21" s="38">
        <f t="shared" si="11"/>
        <v>0.16081147687500003</v>
      </c>
      <c r="E21" s="40">
        <f t="shared" si="8"/>
        <v>5.769111732890627E-2</v>
      </c>
      <c r="F21" s="10">
        <f t="shared" si="0"/>
        <v>5969.5379999999996</v>
      </c>
      <c r="G21" s="10">
        <f t="shared" si="1"/>
        <v>5085.1619999999994</v>
      </c>
      <c r="H21" s="11">
        <f t="shared" si="2"/>
        <v>4191.247766659234</v>
      </c>
      <c r="I21" s="15">
        <f t="shared" si="3"/>
        <v>2292.5084000000006</v>
      </c>
      <c r="J21" s="15">
        <f t="shared" si="4"/>
        <v>5895.0216</v>
      </c>
      <c r="K21" s="15">
        <f t="shared" si="5"/>
        <v>1210.9000000000001</v>
      </c>
      <c r="L21" s="16">
        <f t="shared" si="6"/>
        <v>2173.6674780376461</v>
      </c>
      <c r="M21" s="21">
        <f t="shared" si="7"/>
        <v>2017.5802886215879</v>
      </c>
      <c r="N21" s="23">
        <f t="shared" si="9"/>
        <v>-2248.0011742933448</v>
      </c>
      <c r="O21" s="17" t="s">
        <v>36</v>
      </c>
    </row>
    <row r="22" spans="2:18" x14ac:dyDescent="0.2">
      <c r="B22" s="17">
        <v>2030</v>
      </c>
      <c r="C22" s="38">
        <f t="shared" si="10"/>
        <v>0.59337424823414076</v>
      </c>
      <c r="D22" s="38">
        <f t="shared" si="11"/>
        <v>0.16885205071875004</v>
      </c>
      <c r="E22" s="40">
        <f t="shared" si="8"/>
        <v>6.0575673195351586E-2</v>
      </c>
      <c r="F22" s="10">
        <f t="shared" si="0"/>
        <v>5969.5379999999996</v>
      </c>
      <c r="G22" s="10">
        <f t="shared" si="1"/>
        <v>5085.1619999999994</v>
      </c>
      <c r="H22" s="11">
        <f t="shared" si="2"/>
        <v>4400.8101549921957</v>
      </c>
      <c r="I22" s="15">
        <f t="shared" si="3"/>
        <v>2292.5084000000006</v>
      </c>
      <c r="J22" s="15">
        <f t="shared" si="4"/>
        <v>5895.0216</v>
      </c>
      <c r="K22" s="15">
        <f t="shared" si="5"/>
        <v>1210.9000000000001</v>
      </c>
      <c r="L22" s="16">
        <f t="shared" si="6"/>
        <v>2282.3508519395291</v>
      </c>
      <c r="M22" s="21">
        <f t="shared" si="7"/>
        <v>2118.4593030526667</v>
      </c>
      <c r="N22" s="23">
        <f t="shared" ref="N22" si="12">N21-M22</f>
        <v>-4366.4604773460114</v>
      </c>
      <c r="O22" s="17" t="s">
        <v>36</v>
      </c>
    </row>
    <row r="23" spans="2:18" x14ac:dyDescent="0.2">
      <c r="B23" s="17">
        <v>2031</v>
      </c>
      <c r="C23" s="38">
        <f t="shared" ref="C23" si="13">C22*(1+$C$9)</f>
        <v>0.62304296064584785</v>
      </c>
      <c r="D23" s="38">
        <f t="shared" ref="D23" si="14">D22*(1+$C$9)</f>
        <v>0.17729465325468755</v>
      </c>
      <c r="E23" s="40">
        <f t="shared" si="8"/>
        <v>6.3604456855119174E-2</v>
      </c>
      <c r="F23" s="10">
        <f t="shared" si="0"/>
        <v>5969.5379999999996</v>
      </c>
      <c r="G23" s="10">
        <f t="shared" si="1"/>
        <v>5085.1619999999994</v>
      </c>
      <c r="H23" s="11">
        <f t="shared" si="2"/>
        <v>4620.8506627418064</v>
      </c>
      <c r="I23" s="15">
        <f t="shared" si="3"/>
        <v>2292.5084000000006</v>
      </c>
      <c r="J23" s="15">
        <f t="shared" si="4"/>
        <v>5895.0216</v>
      </c>
      <c r="K23" s="15">
        <f t="shared" si="5"/>
        <v>1210.9000000000001</v>
      </c>
      <c r="L23" s="16">
        <f t="shared" si="6"/>
        <v>2396.4683945365059</v>
      </c>
      <c r="M23" s="21">
        <f t="shared" si="7"/>
        <v>2224.3822682053005</v>
      </c>
      <c r="N23" s="23">
        <f t="shared" ref="N23" si="15">N22-M23</f>
        <v>-6590.842745551312</v>
      </c>
      <c r="O23" s="17" t="s">
        <v>36</v>
      </c>
    </row>
  </sheetData>
  <mergeCells count="3">
    <mergeCell ref="F12:H12"/>
    <mergeCell ref="I12:L12"/>
    <mergeCell ref="C12:E1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353B-E8E4-7F42-9FF4-75F04CD4BA6E}">
  <dimension ref="B1:D11"/>
  <sheetViews>
    <sheetView workbookViewId="0">
      <selection activeCell="C2" sqref="C2"/>
    </sheetView>
  </sheetViews>
  <sheetFormatPr baseColWidth="10" defaultRowHeight="16" x14ac:dyDescent="0.2"/>
  <cols>
    <col min="2" max="2" width="25" bestFit="1" customWidth="1"/>
  </cols>
  <sheetData>
    <row r="1" spans="2:4" x14ac:dyDescent="0.2">
      <c r="B1" s="2" t="s">
        <v>23</v>
      </c>
    </row>
    <row r="2" spans="2:4" x14ac:dyDescent="0.2">
      <c r="B2" t="s">
        <v>22</v>
      </c>
      <c r="C2">
        <f>(Monthly!I4*Monthly!J4)+(Monthly!I5*Monthly!J5)+(Monthly!I6*Monthly!J6)+(Monthly!I7*Monthly!J7)+(Monthly!I8*Monthly!J8)+(Monthly!I9*Monthly!J9)+(Monthly!I10*Monthly!J10)+(Monthly!I11*Monthly!J11)+(Monthly!I12*Monthly!J12)+(Monthly!I13*Monthly!J13)+(Monthly!I14*Monthly!J14)+(Monthly!I15*Monthly!J15)</f>
        <v>2918.5369798528227</v>
      </c>
      <c r="D2" t="s">
        <v>6</v>
      </c>
    </row>
    <row r="3" spans="2:4" x14ac:dyDescent="0.2">
      <c r="B3" t="s">
        <v>27</v>
      </c>
      <c r="C3">
        <f>SUM(Monthly!I4:I15)-C2</f>
        <v>8136.1630201471762</v>
      </c>
      <c r="D3" t="s">
        <v>6</v>
      </c>
    </row>
    <row r="4" spans="2:4" x14ac:dyDescent="0.2">
      <c r="B4" t="s">
        <v>28</v>
      </c>
      <c r="C4">
        <f>C2+C3</f>
        <v>11054.699999999999</v>
      </c>
      <c r="D4" t="s">
        <v>6</v>
      </c>
    </row>
    <row r="6" spans="2:4" x14ac:dyDescent="0.2">
      <c r="B6" t="s">
        <v>24</v>
      </c>
      <c r="C6">
        <f>(Monthly!H4*Monthly!J4)+(Monthly!H5*Monthly!J5)+(Monthly!H6*Monthly!J6)+(Monthly!H7*Monthly!J7)+(Monthly!H8*Monthly!J8)+(Monthly!H9*Monthly!J9)+(Monthly!H10*Monthly!J10)+(Monthly!H11*Monthly!J11)+(Monthly!H12*Monthly!J12)+(Monthly!H13*Monthly!J13)+(Monthly!H14*Monthly!J14)+(Monthly!H15*Monthly!J15)</f>
        <v>2311.9299999999998</v>
      </c>
      <c r="D6" t="s">
        <v>6</v>
      </c>
    </row>
    <row r="7" spans="2:4" x14ac:dyDescent="0.2">
      <c r="B7" t="s">
        <v>26</v>
      </c>
      <c r="C7">
        <f>SUM(Monthly!H4:H15)-C6</f>
        <v>5875.6</v>
      </c>
      <c r="D7" t="s">
        <v>6</v>
      </c>
    </row>
    <row r="8" spans="2:4" x14ac:dyDescent="0.2">
      <c r="B8" t="s">
        <v>25</v>
      </c>
      <c r="C8" s="7">
        <f>(C6/SUM(C6:C7))</f>
        <v>0.2823720951251476</v>
      </c>
    </row>
    <row r="9" spans="2:4" x14ac:dyDescent="0.2">
      <c r="C9" s="8"/>
    </row>
    <row r="10" spans="2:4" x14ac:dyDescent="0.2">
      <c r="C10" s="8"/>
    </row>
    <row r="11" spans="2:4" x14ac:dyDescent="0.2">
      <c r="C11" s="8"/>
    </row>
  </sheetData>
  <pageMargins left="0.7" right="0.7" top="0.75" bottom="0.75" header="0.3" footer="0.3"/>
  <ignoredErrors>
    <ignoredError sqref="C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A27D-98E5-8C48-AD3D-CFFBECCC5021}">
  <dimension ref="A1:C12"/>
  <sheetViews>
    <sheetView workbookViewId="0">
      <selection activeCell="B4" sqref="B4"/>
    </sheetView>
  </sheetViews>
  <sheetFormatPr baseColWidth="10" defaultRowHeight="16" x14ac:dyDescent="0.2"/>
  <cols>
    <col min="2" max="3" width="10.83203125" style="3"/>
  </cols>
  <sheetData>
    <row r="1" spans="1:3" x14ac:dyDescent="0.2">
      <c r="A1" t="s">
        <v>14</v>
      </c>
      <c r="C1" s="3">
        <f>3788.55+3554.24+2538.74</f>
        <v>9881.5299999999988</v>
      </c>
    </row>
    <row r="3" spans="1:3" x14ac:dyDescent="0.2">
      <c r="A3" s="2" t="s">
        <v>12</v>
      </c>
      <c r="B3" s="6" t="s">
        <v>13</v>
      </c>
      <c r="C3" s="6" t="s">
        <v>15</v>
      </c>
    </row>
    <row r="4" spans="1:3" x14ac:dyDescent="0.2">
      <c r="A4">
        <v>2022</v>
      </c>
      <c r="B4" s="3">
        <f>SUM(Monthly!P4:P16)</f>
        <v>529.50533600000006</v>
      </c>
      <c r="C4" s="3">
        <f>C1-B4</f>
        <v>9352.0246639999987</v>
      </c>
    </row>
    <row r="5" spans="1:3" x14ac:dyDescent="0.2">
      <c r="A5">
        <v>2023</v>
      </c>
    </row>
    <row r="6" spans="1:3" x14ac:dyDescent="0.2">
      <c r="A6">
        <v>2024</v>
      </c>
    </row>
    <row r="7" spans="1:3" x14ac:dyDescent="0.2">
      <c r="A7">
        <v>2025</v>
      </c>
    </row>
    <row r="8" spans="1:3" x14ac:dyDescent="0.2">
      <c r="A8">
        <v>2026</v>
      </c>
    </row>
    <row r="9" spans="1:3" x14ac:dyDescent="0.2">
      <c r="A9">
        <v>2027</v>
      </c>
    </row>
    <row r="10" spans="1:3" x14ac:dyDescent="0.2">
      <c r="A10">
        <v>2028</v>
      </c>
    </row>
    <row r="11" spans="1:3" x14ac:dyDescent="0.2">
      <c r="A11">
        <v>2029</v>
      </c>
    </row>
    <row r="12" spans="1:3" x14ac:dyDescent="0.2">
      <c r="A12">
        <v>2030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B4F1-35F9-B24F-834C-5D41575F3643}">
  <dimension ref="A1:P16"/>
  <sheetViews>
    <sheetView workbookViewId="0">
      <pane ySplit="2" topLeftCell="A3" activePane="bottomLeft" state="frozen"/>
      <selection pane="bottomLeft" activeCell="J3" sqref="J3"/>
    </sheetView>
  </sheetViews>
  <sheetFormatPr baseColWidth="10" defaultRowHeight="16" x14ac:dyDescent="0.2"/>
  <cols>
    <col min="4" max="4" width="10.83203125" style="3"/>
    <col min="7" max="7" width="10.83203125" style="3"/>
    <col min="8" max="8" width="15" bestFit="1" customWidth="1"/>
    <col min="9" max="9" width="13.83203125" bestFit="1" customWidth="1"/>
    <col min="10" max="10" width="17.33203125" customWidth="1"/>
    <col min="11" max="11" width="17.83203125" style="5" customWidth="1"/>
    <col min="12" max="12" width="10.83203125" style="3"/>
    <col min="13" max="15" width="10.83203125" style="20"/>
  </cols>
  <sheetData>
    <row r="1" spans="1:16" x14ac:dyDescent="0.2">
      <c r="A1" s="2" t="s">
        <v>0</v>
      </c>
      <c r="B1" s="44" t="s">
        <v>1</v>
      </c>
      <c r="C1" s="44"/>
      <c r="D1" s="44"/>
      <c r="E1" s="44" t="s">
        <v>2</v>
      </c>
      <c r="F1" s="44"/>
      <c r="G1" s="44"/>
      <c r="H1" s="2" t="s">
        <v>4</v>
      </c>
      <c r="I1" s="2" t="s">
        <v>3</v>
      </c>
      <c r="J1" s="2" t="s">
        <v>5</v>
      </c>
      <c r="K1" s="4" t="s">
        <v>8</v>
      </c>
      <c r="L1" s="6" t="s">
        <v>11</v>
      </c>
      <c r="M1" s="45" t="s">
        <v>40</v>
      </c>
      <c r="N1" s="45"/>
      <c r="O1" s="45"/>
      <c r="P1" s="2" t="s">
        <v>10</v>
      </c>
    </row>
    <row r="2" spans="1:16" x14ac:dyDescent="0.2">
      <c r="A2" s="2"/>
      <c r="B2" s="2" t="s">
        <v>6</v>
      </c>
      <c r="C2" s="2" t="s">
        <v>7</v>
      </c>
      <c r="D2" s="6" t="s">
        <v>9</v>
      </c>
      <c r="E2" s="2" t="s">
        <v>6</v>
      </c>
      <c r="F2" s="2" t="s">
        <v>7</v>
      </c>
      <c r="G2" s="6" t="s">
        <v>9</v>
      </c>
      <c r="H2" s="2"/>
      <c r="I2" s="2"/>
      <c r="M2" s="39" t="s">
        <v>6</v>
      </c>
      <c r="N2" s="39" t="s">
        <v>7</v>
      </c>
      <c r="O2" s="39" t="s">
        <v>9</v>
      </c>
    </row>
    <row r="3" spans="1:16" x14ac:dyDescent="0.2">
      <c r="A3" s="1">
        <v>44501</v>
      </c>
      <c r="B3">
        <v>476.08</v>
      </c>
      <c r="C3">
        <v>0.14199999999999999</v>
      </c>
      <c r="D3" s="3">
        <f>B3*C3</f>
        <v>67.603359999999995</v>
      </c>
      <c r="E3">
        <v>401.23</v>
      </c>
      <c r="F3">
        <v>0.05</v>
      </c>
      <c r="G3" s="3">
        <f>E3*F3</f>
        <v>20.061500000000002</v>
      </c>
      <c r="H3">
        <f>B3+E3</f>
        <v>877.31</v>
      </c>
      <c r="I3">
        <v>877.3</v>
      </c>
      <c r="J3">
        <f>B3/H3</f>
        <v>0.54265880931483745</v>
      </c>
      <c r="K3" s="5">
        <f>((I3*0.54)*C3) + ((I3*0.46)*F3)</f>
        <v>87.449263999999999</v>
      </c>
      <c r="L3" s="3">
        <f>D3+G3</f>
        <v>87.664860000000004</v>
      </c>
      <c r="M3" s="20">
        <v>0</v>
      </c>
      <c r="N3" s="20">
        <v>4.1000000000000002E-2</v>
      </c>
      <c r="O3" s="3">
        <f>N3*M3</f>
        <v>0</v>
      </c>
      <c r="P3" s="5">
        <f>K3-L3+O3</f>
        <v>-0.21559600000000501</v>
      </c>
    </row>
    <row r="4" spans="1:16" x14ac:dyDescent="0.2">
      <c r="A4" s="1">
        <v>44531</v>
      </c>
      <c r="B4">
        <v>466.12</v>
      </c>
      <c r="C4">
        <v>0.14199999999999999</v>
      </c>
      <c r="D4" s="3">
        <f t="shared" ref="D4:D16" si="0">B4*C4</f>
        <v>66.189039999999991</v>
      </c>
      <c r="E4">
        <v>410.23</v>
      </c>
      <c r="F4">
        <v>0.05</v>
      </c>
      <c r="G4" s="3">
        <f t="shared" ref="G4:G16" si="1">E4*F4</f>
        <v>20.511500000000002</v>
      </c>
      <c r="H4">
        <f t="shared" ref="H4:H16" si="2">B4+E4</f>
        <v>876.35</v>
      </c>
      <c r="I4">
        <v>904.5</v>
      </c>
      <c r="J4">
        <f t="shared" ref="J4:J16" si="3">B4/H4</f>
        <v>0.53188794431448616</v>
      </c>
      <c r="K4" s="5">
        <f t="shared" ref="K4:K16" si="4">((I4*0.54)*C4) + ((I4*0.46)*F4)</f>
        <v>90.16055999999999</v>
      </c>
      <c r="L4" s="3">
        <f t="shared" ref="L4:L16" si="5">D4+G4</f>
        <v>86.70053999999999</v>
      </c>
      <c r="M4" s="20">
        <v>1.5</v>
      </c>
      <c r="N4" s="20">
        <v>4.1000000000000002E-2</v>
      </c>
      <c r="O4" s="3">
        <f t="shared" ref="O4:O16" si="6">N4*M4</f>
        <v>6.1499999999999999E-2</v>
      </c>
      <c r="P4" s="5">
        <f t="shared" ref="P4:P16" si="7">K4-L4+O4</f>
        <v>3.5215200000000002</v>
      </c>
    </row>
    <row r="5" spans="1:16" x14ac:dyDescent="0.2">
      <c r="A5" s="1">
        <v>44562</v>
      </c>
      <c r="B5">
        <v>436.91</v>
      </c>
      <c r="C5">
        <v>0.14199999999999999</v>
      </c>
      <c r="D5" s="3">
        <f t="shared" si="0"/>
        <v>62.041219999999996</v>
      </c>
      <c r="E5">
        <v>420.75</v>
      </c>
      <c r="F5">
        <v>0.05</v>
      </c>
      <c r="G5" s="3">
        <f t="shared" si="1"/>
        <v>21.037500000000001</v>
      </c>
      <c r="H5">
        <f t="shared" si="2"/>
        <v>857.66000000000008</v>
      </c>
      <c r="I5">
        <v>946.7</v>
      </c>
      <c r="J5">
        <f t="shared" si="3"/>
        <v>0.50942098267378677</v>
      </c>
      <c r="K5" s="5">
        <f t="shared" si="4"/>
        <v>94.367056000000005</v>
      </c>
      <c r="L5" s="3">
        <f t="shared" si="5"/>
        <v>83.078720000000004</v>
      </c>
      <c r="M5" s="20">
        <v>28.8</v>
      </c>
      <c r="N5" s="20">
        <v>4.1000000000000002E-2</v>
      </c>
      <c r="O5" s="3">
        <f t="shared" si="6"/>
        <v>1.1808000000000001</v>
      </c>
      <c r="P5" s="5">
        <f t="shared" si="7"/>
        <v>12.469136000000001</v>
      </c>
    </row>
    <row r="6" spans="1:16" x14ac:dyDescent="0.2">
      <c r="A6" s="1">
        <v>44593</v>
      </c>
      <c r="B6">
        <v>348.64</v>
      </c>
      <c r="C6">
        <v>0.14199999999999999</v>
      </c>
      <c r="D6" s="3">
        <f t="shared" si="0"/>
        <v>49.506879999999995</v>
      </c>
      <c r="E6">
        <v>423.48</v>
      </c>
      <c r="F6">
        <v>0.05</v>
      </c>
      <c r="G6" s="3">
        <f t="shared" si="1"/>
        <v>21.174000000000003</v>
      </c>
      <c r="H6">
        <f t="shared" si="2"/>
        <v>772.12</v>
      </c>
      <c r="I6">
        <v>878.7</v>
      </c>
      <c r="J6">
        <f t="shared" si="3"/>
        <v>0.45153603066880793</v>
      </c>
      <c r="K6" s="5">
        <f t="shared" si="4"/>
        <v>87.588816000000008</v>
      </c>
      <c r="L6" s="3">
        <f t="shared" si="5"/>
        <v>70.680880000000002</v>
      </c>
      <c r="M6" s="20">
        <v>57.2</v>
      </c>
      <c r="N6" s="20">
        <v>4.1000000000000002E-2</v>
      </c>
      <c r="O6" s="3">
        <f t="shared" si="6"/>
        <v>2.3452000000000002</v>
      </c>
      <c r="P6" s="5">
        <f t="shared" si="7"/>
        <v>19.253136000000005</v>
      </c>
    </row>
    <row r="7" spans="1:16" x14ac:dyDescent="0.2">
      <c r="A7" s="1">
        <v>44621</v>
      </c>
      <c r="B7">
        <v>257.95999999999998</v>
      </c>
      <c r="C7">
        <v>0.14199999999999999</v>
      </c>
      <c r="D7" s="3">
        <f t="shared" si="0"/>
        <v>36.63031999999999</v>
      </c>
      <c r="E7">
        <v>366.51</v>
      </c>
      <c r="F7">
        <v>0.05</v>
      </c>
      <c r="G7" s="3">
        <f t="shared" si="1"/>
        <v>18.325500000000002</v>
      </c>
      <c r="H7">
        <f t="shared" si="2"/>
        <v>624.47</v>
      </c>
      <c r="I7">
        <v>868</v>
      </c>
      <c r="J7">
        <f t="shared" si="3"/>
        <v>0.41308629718000861</v>
      </c>
      <c r="K7" s="5">
        <f t="shared" si="4"/>
        <v>86.522239999999996</v>
      </c>
      <c r="L7" s="3">
        <f t="shared" si="5"/>
        <v>54.955819999999989</v>
      </c>
      <c r="M7" s="20">
        <v>159.30000000000001</v>
      </c>
      <c r="N7" s="20">
        <v>4.1000000000000002E-2</v>
      </c>
      <c r="O7" s="3">
        <f t="shared" si="6"/>
        <v>6.5313000000000008</v>
      </c>
      <c r="P7" s="5">
        <f t="shared" si="7"/>
        <v>38.09772000000001</v>
      </c>
    </row>
    <row r="8" spans="1:16" x14ac:dyDescent="0.2">
      <c r="A8" s="1">
        <v>44652</v>
      </c>
      <c r="B8">
        <v>194.06</v>
      </c>
      <c r="C8">
        <v>0.14199999999999999</v>
      </c>
      <c r="D8" s="3">
        <f t="shared" si="0"/>
        <v>27.556519999999999</v>
      </c>
      <c r="E8">
        <v>318.18</v>
      </c>
      <c r="F8">
        <v>0.05</v>
      </c>
      <c r="G8" s="3">
        <f t="shared" si="1"/>
        <v>15.909000000000001</v>
      </c>
      <c r="H8">
        <f t="shared" si="2"/>
        <v>512.24</v>
      </c>
      <c r="I8">
        <v>829</v>
      </c>
      <c r="J8">
        <f t="shared" si="3"/>
        <v>0.37884585350616901</v>
      </c>
      <c r="K8" s="5">
        <f t="shared" si="4"/>
        <v>82.634720000000002</v>
      </c>
      <c r="L8" s="3">
        <f t="shared" si="5"/>
        <v>43.465519999999998</v>
      </c>
      <c r="M8" s="20">
        <v>187.7</v>
      </c>
      <c r="N8" s="20">
        <v>4.1000000000000002E-2</v>
      </c>
      <c r="O8" s="3">
        <f t="shared" si="6"/>
        <v>7.6956999999999995</v>
      </c>
      <c r="P8" s="5">
        <f t="shared" si="7"/>
        <v>46.864900000000006</v>
      </c>
    </row>
    <row r="9" spans="1:16" x14ac:dyDescent="0.2">
      <c r="A9" s="1">
        <v>44682</v>
      </c>
      <c r="B9">
        <v>220.55</v>
      </c>
      <c r="C9">
        <v>0.14199999999999999</v>
      </c>
      <c r="D9" s="3">
        <f t="shared" si="0"/>
        <v>31.318099999999998</v>
      </c>
      <c r="E9">
        <v>397.07</v>
      </c>
      <c r="F9">
        <v>0.05</v>
      </c>
      <c r="G9" s="3">
        <f t="shared" si="1"/>
        <v>19.8535</v>
      </c>
      <c r="H9">
        <f t="shared" si="2"/>
        <v>617.62</v>
      </c>
      <c r="I9">
        <v>946.7</v>
      </c>
      <c r="J9">
        <f t="shared" si="3"/>
        <v>0.35709659661280402</v>
      </c>
      <c r="K9" s="5">
        <f t="shared" si="4"/>
        <v>94.367056000000005</v>
      </c>
      <c r="L9" s="3">
        <f t="shared" si="5"/>
        <v>51.171599999999998</v>
      </c>
      <c r="M9" s="20">
        <v>152.30000000000001</v>
      </c>
      <c r="N9" s="20">
        <v>4.1000000000000002E-2</v>
      </c>
      <c r="O9" s="3">
        <f t="shared" si="6"/>
        <v>6.2443000000000008</v>
      </c>
      <c r="P9" s="5">
        <f t="shared" si="7"/>
        <v>49.43975600000001</v>
      </c>
    </row>
    <row r="10" spans="1:16" x14ac:dyDescent="0.2">
      <c r="A10" s="1">
        <v>44713</v>
      </c>
      <c r="B10">
        <v>47.53</v>
      </c>
      <c r="C10">
        <v>0.14199999999999999</v>
      </c>
      <c r="D10" s="3">
        <f t="shared" si="0"/>
        <v>6.7492599999999996</v>
      </c>
      <c r="E10">
        <v>513.16</v>
      </c>
      <c r="F10">
        <v>0.05</v>
      </c>
      <c r="G10" s="3">
        <f t="shared" si="1"/>
        <v>25.658000000000001</v>
      </c>
      <c r="H10">
        <f t="shared" si="2"/>
        <v>560.68999999999994</v>
      </c>
      <c r="I10">
        <v>978.7</v>
      </c>
      <c r="J10">
        <f t="shared" si="3"/>
        <v>8.4770550571617129E-2</v>
      </c>
      <c r="K10" s="5">
        <f t="shared" si="4"/>
        <v>97.556816000000012</v>
      </c>
      <c r="L10" s="3">
        <f t="shared" si="5"/>
        <v>32.407260000000001</v>
      </c>
      <c r="M10" s="20">
        <v>140.69999999999999</v>
      </c>
      <c r="N10" s="20">
        <v>4.1000000000000002E-2</v>
      </c>
      <c r="O10" s="3">
        <f t="shared" si="6"/>
        <v>5.7686999999999999</v>
      </c>
      <c r="P10" s="5">
        <f t="shared" si="7"/>
        <v>70.918256000000014</v>
      </c>
    </row>
    <row r="11" spans="1:16" x14ac:dyDescent="0.2">
      <c r="A11" s="1">
        <v>44743</v>
      </c>
      <c r="B11">
        <v>43.41</v>
      </c>
      <c r="C11">
        <v>0.14199999999999999</v>
      </c>
      <c r="D11" s="3">
        <f t="shared" si="0"/>
        <v>6.1642199999999994</v>
      </c>
      <c r="E11">
        <v>504.36</v>
      </c>
      <c r="F11">
        <v>0.05</v>
      </c>
      <c r="G11" s="3">
        <f t="shared" si="1"/>
        <v>25.218000000000004</v>
      </c>
      <c r="H11">
        <f t="shared" si="2"/>
        <v>547.77</v>
      </c>
      <c r="I11">
        <v>962.5</v>
      </c>
      <c r="J11">
        <f t="shared" si="3"/>
        <v>7.9248589736568259E-2</v>
      </c>
      <c r="K11" s="5">
        <f t="shared" si="4"/>
        <v>95.941999999999993</v>
      </c>
      <c r="L11" s="3">
        <f t="shared" si="5"/>
        <v>31.382220000000004</v>
      </c>
      <c r="M11" s="20">
        <v>115.6</v>
      </c>
      <c r="N11" s="20">
        <v>4.1000000000000002E-2</v>
      </c>
      <c r="O11" s="3">
        <f t="shared" si="6"/>
        <v>4.7396000000000003</v>
      </c>
      <c r="P11" s="5">
        <f t="shared" si="7"/>
        <v>69.299379999999985</v>
      </c>
    </row>
    <row r="12" spans="1:16" x14ac:dyDescent="0.2">
      <c r="A12" s="1">
        <v>44774</v>
      </c>
      <c r="B12">
        <v>56.4</v>
      </c>
      <c r="C12">
        <v>0.14199999999999999</v>
      </c>
      <c r="D12" s="3">
        <f t="shared" si="0"/>
        <v>8.008799999999999</v>
      </c>
      <c r="E12">
        <v>331.28</v>
      </c>
      <c r="F12">
        <v>0.05</v>
      </c>
      <c r="G12" s="3">
        <f t="shared" si="1"/>
        <v>16.564</v>
      </c>
      <c r="H12">
        <f t="shared" si="2"/>
        <v>387.67999999999995</v>
      </c>
      <c r="I12">
        <v>695.6</v>
      </c>
      <c r="J12">
        <f t="shared" si="3"/>
        <v>0.14548080891456874</v>
      </c>
      <c r="K12" s="5">
        <f t="shared" si="4"/>
        <v>69.337407999999996</v>
      </c>
      <c r="L12" s="3">
        <f t="shared" si="5"/>
        <v>24.572800000000001</v>
      </c>
      <c r="M12" s="20">
        <v>225.2</v>
      </c>
      <c r="N12" s="20">
        <v>4.1000000000000002E-2</v>
      </c>
      <c r="O12" s="3">
        <f t="shared" si="6"/>
        <v>9.2332000000000001</v>
      </c>
      <c r="P12" s="5">
        <f t="shared" si="7"/>
        <v>53.997807999999992</v>
      </c>
    </row>
    <row r="13" spans="1:16" x14ac:dyDescent="0.2">
      <c r="A13" s="1">
        <v>44805</v>
      </c>
      <c r="B13">
        <v>24.92</v>
      </c>
      <c r="C13">
        <v>0.14199999999999999</v>
      </c>
      <c r="D13" s="3">
        <f t="shared" si="0"/>
        <v>3.53864</v>
      </c>
      <c r="E13">
        <v>647.78</v>
      </c>
      <c r="F13">
        <v>0.05</v>
      </c>
      <c r="G13" s="3">
        <f t="shared" si="1"/>
        <v>32.389000000000003</v>
      </c>
      <c r="H13">
        <f t="shared" si="2"/>
        <v>672.69999999999993</v>
      </c>
      <c r="I13">
        <v>936.9</v>
      </c>
      <c r="J13">
        <f t="shared" si="3"/>
        <v>3.7044745057232056E-2</v>
      </c>
      <c r="K13" s="5">
        <f t="shared" si="4"/>
        <v>93.390191999999999</v>
      </c>
      <c r="L13" s="3">
        <f t="shared" si="5"/>
        <v>35.927640000000004</v>
      </c>
      <c r="M13" s="20">
        <v>84.1</v>
      </c>
      <c r="N13" s="20">
        <v>4.1000000000000002E-2</v>
      </c>
      <c r="O13" s="3">
        <f t="shared" si="6"/>
        <v>3.4480999999999997</v>
      </c>
      <c r="P13" s="5">
        <f t="shared" si="7"/>
        <v>60.910651999999992</v>
      </c>
    </row>
    <row r="14" spans="1:16" x14ac:dyDescent="0.2">
      <c r="A14" s="1">
        <v>44835</v>
      </c>
      <c r="B14">
        <v>67.45</v>
      </c>
      <c r="C14">
        <v>0.14199999999999999</v>
      </c>
      <c r="D14" s="3">
        <f t="shared" si="0"/>
        <v>9.5778999999999996</v>
      </c>
      <c r="E14">
        <v>800.84</v>
      </c>
      <c r="F14">
        <v>0.05</v>
      </c>
      <c r="G14" s="3">
        <f t="shared" si="1"/>
        <v>40.042000000000002</v>
      </c>
      <c r="H14">
        <f t="shared" si="2"/>
        <v>868.29000000000008</v>
      </c>
      <c r="I14">
        <v>1104.3</v>
      </c>
      <c r="J14">
        <f t="shared" si="3"/>
        <v>7.7681419802139828E-2</v>
      </c>
      <c r="K14" s="5">
        <f t="shared" si="4"/>
        <v>110.076624</v>
      </c>
      <c r="L14" s="3">
        <f t="shared" si="5"/>
        <v>49.619900000000001</v>
      </c>
      <c r="M14" s="20">
        <v>44.8</v>
      </c>
      <c r="N14" s="20">
        <v>4.1000000000000002E-2</v>
      </c>
      <c r="O14" s="3">
        <f t="shared" si="6"/>
        <v>1.8368</v>
      </c>
      <c r="P14" s="5">
        <f t="shared" si="7"/>
        <v>62.293523999999991</v>
      </c>
    </row>
    <row r="15" spans="1:16" x14ac:dyDescent="0.2">
      <c r="A15" s="1">
        <v>44866</v>
      </c>
      <c r="B15">
        <v>147.97999999999999</v>
      </c>
      <c r="C15">
        <v>0.14199999999999999</v>
      </c>
      <c r="D15" s="3">
        <f t="shared" si="0"/>
        <v>21.013159999999996</v>
      </c>
      <c r="E15">
        <v>741.96</v>
      </c>
      <c r="F15">
        <v>0.05</v>
      </c>
      <c r="G15" s="3">
        <f t="shared" si="1"/>
        <v>37.098000000000006</v>
      </c>
      <c r="H15">
        <f t="shared" si="2"/>
        <v>889.94</v>
      </c>
      <c r="I15">
        <v>1003.1</v>
      </c>
      <c r="J15">
        <f t="shared" si="3"/>
        <v>0.16628087286783377</v>
      </c>
      <c r="K15" s="5">
        <f t="shared" si="4"/>
        <v>99.989008000000013</v>
      </c>
      <c r="L15" s="3">
        <f t="shared" si="5"/>
        <v>58.111159999999998</v>
      </c>
      <c r="M15" s="20">
        <v>13.7</v>
      </c>
      <c r="N15" s="20">
        <v>4.1000000000000002E-2</v>
      </c>
      <c r="O15" s="3">
        <f t="shared" si="6"/>
        <v>0.56169999999999998</v>
      </c>
      <c r="P15" s="5">
        <f t="shared" si="7"/>
        <v>42.439548000000016</v>
      </c>
    </row>
    <row r="16" spans="1:16" x14ac:dyDescent="0.2">
      <c r="A16" s="1">
        <v>44896</v>
      </c>
      <c r="C16">
        <v>0.14199999999999999</v>
      </c>
      <c r="D16" s="3">
        <f t="shared" si="0"/>
        <v>0</v>
      </c>
      <c r="F16">
        <v>0.05</v>
      </c>
      <c r="G16" s="3">
        <f t="shared" si="1"/>
        <v>0</v>
      </c>
      <c r="H16">
        <f t="shared" si="2"/>
        <v>0</v>
      </c>
      <c r="J16" t="e">
        <f t="shared" si="3"/>
        <v>#DIV/0!</v>
      </c>
      <c r="K16" s="5">
        <f t="shared" si="4"/>
        <v>0</v>
      </c>
      <c r="L16" s="3">
        <f t="shared" si="5"/>
        <v>0</v>
      </c>
      <c r="O16" s="3">
        <f t="shared" si="6"/>
        <v>0</v>
      </c>
      <c r="P16" s="5">
        <f t="shared" si="7"/>
        <v>0</v>
      </c>
    </row>
  </sheetData>
  <mergeCells count="3">
    <mergeCell ref="B1:D1"/>
    <mergeCell ref="E1:G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Forecast</vt:lpstr>
      <vt:lpstr>Demand v Grid</vt:lpstr>
      <vt:lpstr>Annual Summary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Oliver Shingler</cp:lastModifiedBy>
  <dcterms:created xsi:type="dcterms:W3CDTF">2022-06-23T11:46:18Z</dcterms:created>
  <dcterms:modified xsi:type="dcterms:W3CDTF">2022-12-12T11:05:38Z</dcterms:modified>
</cp:coreProperties>
</file>