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vershingler/Documents/Speak to the Geek/"/>
    </mc:Choice>
  </mc:AlternateContent>
  <xr:revisionPtr revIDLastSave="0" documentId="13_ncr:1_{430E2905-B084-A04F-825D-1A17C14AD5D6}" xr6:coauthVersionLast="47" xr6:coauthVersionMax="47" xr10:uidLastSave="{00000000-0000-0000-0000-000000000000}"/>
  <bookViews>
    <workbookView xWindow="30240" yWindow="-8660" windowWidth="51200" windowHeight="26720" xr2:uid="{799C9C5B-5E0F-ED47-9E38-B4C0C2E50BD3}"/>
  </bookViews>
  <sheets>
    <sheet name="Forecast" sheetId="4" r:id="rId1"/>
    <sheet name="Demand v Grid" sheetId="5" r:id="rId2"/>
    <sheet name="Annual Summary" sheetId="3" r:id="rId3"/>
    <sheet name="Monthly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4" l="1"/>
  <c r="O17" i="4" s="1"/>
  <c r="F7" i="3"/>
  <c r="L17" i="4" s="1"/>
  <c r="E7" i="3"/>
  <c r="J17" i="4" s="1"/>
  <c r="D7" i="3"/>
  <c r="I17" i="4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N45" i="2" s="1"/>
  <c r="J46" i="2"/>
  <c r="N46" i="2" s="1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4" i="2"/>
  <c r="N16" i="4"/>
  <c r="N17" i="2"/>
  <c r="N18" i="2"/>
  <c r="N19" i="2"/>
  <c r="N20" i="2"/>
  <c r="N21" i="2"/>
  <c r="N22" i="2"/>
  <c r="N23" i="2"/>
  <c r="N24" i="2"/>
  <c r="N25" i="2"/>
  <c r="N26" i="2"/>
  <c r="N27" i="2"/>
  <c r="N28" i="2"/>
  <c r="I5" i="3"/>
  <c r="H15" i="4"/>
  <c r="D17" i="2"/>
  <c r="G17" i="2"/>
  <c r="O17" i="2"/>
  <c r="D18" i="2"/>
  <c r="G18" i="2"/>
  <c r="O18" i="2"/>
  <c r="D19" i="2"/>
  <c r="G19" i="2"/>
  <c r="O19" i="2"/>
  <c r="D20" i="2"/>
  <c r="G20" i="2"/>
  <c r="O20" i="2"/>
  <c r="D21" i="2"/>
  <c r="G21" i="2"/>
  <c r="O21" i="2"/>
  <c r="D22" i="2"/>
  <c r="G22" i="2"/>
  <c r="O22" i="2"/>
  <c r="D23" i="2"/>
  <c r="G23" i="2"/>
  <c r="O23" i="2"/>
  <c r="D24" i="2"/>
  <c r="G24" i="2"/>
  <c r="O24" i="2"/>
  <c r="D25" i="2"/>
  <c r="G25" i="2"/>
  <c r="O25" i="2"/>
  <c r="D26" i="2"/>
  <c r="G26" i="2"/>
  <c r="O26" i="2"/>
  <c r="D27" i="2"/>
  <c r="G27" i="2"/>
  <c r="O27" i="2"/>
  <c r="D28" i="2"/>
  <c r="G28" i="2"/>
  <c r="O28" i="2"/>
  <c r="R17" i="2"/>
  <c r="R18" i="2"/>
  <c r="R19" i="2"/>
  <c r="R20" i="2"/>
  <c r="R21" i="2"/>
  <c r="R22" i="2"/>
  <c r="R23" i="2"/>
  <c r="R24" i="2"/>
  <c r="R25" i="2"/>
  <c r="R26" i="2"/>
  <c r="R27" i="2"/>
  <c r="R28" i="2"/>
  <c r="G5" i="3"/>
  <c r="M15" i="4"/>
  <c r="O15" i="4"/>
  <c r="H4" i="2"/>
  <c r="K4" i="2"/>
  <c r="H5" i="2"/>
  <c r="K5" i="2"/>
  <c r="H6" i="2"/>
  <c r="K6" i="2"/>
  <c r="H7" i="2"/>
  <c r="K7" i="2"/>
  <c r="H8" i="2"/>
  <c r="K8" i="2"/>
  <c r="H9" i="2"/>
  <c r="K9" i="2"/>
  <c r="H10" i="2"/>
  <c r="K10" i="2"/>
  <c r="H11" i="2"/>
  <c r="K11" i="2"/>
  <c r="H12" i="2"/>
  <c r="K12" i="2"/>
  <c r="H13" i="2"/>
  <c r="K13" i="2"/>
  <c r="H14" i="2"/>
  <c r="K14" i="2"/>
  <c r="H15" i="2"/>
  <c r="K15" i="2"/>
  <c r="C2" i="5"/>
  <c r="E2" i="5"/>
  <c r="C3" i="5"/>
  <c r="E3" i="5"/>
  <c r="E4" i="5"/>
  <c r="C4" i="4"/>
  <c r="C6" i="5"/>
  <c r="E6" i="5"/>
  <c r="C7" i="5"/>
  <c r="E7" i="5"/>
  <c r="C7" i="4"/>
  <c r="F18" i="4"/>
  <c r="G18" i="4"/>
  <c r="H18" i="4"/>
  <c r="I18" i="4"/>
  <c r="J18" i="4"/>
  <c r="C19" i="4"/>
  <c r="D19" i="4"/>
  <c r="F19" i="4"/>
  <c r="G19" i="4"/>
  <c r="H19" i="4"/>
  <c r="E19" i="4"/>
  <c r="I19" i="4"/>
  <c r="J19" i="4"/>
  <c r="C20" i="4"/>
  <c r="D20" i="4"/>
  <c r="F20" i="4"/>
  <c r="G20" i="4"/>
  <c r="H20" i="4"/>
  <c r="E20" i="4"/>
  <c r="I20" i="4"/>
  <c r="J20" i="4"/>
  <c r="C21" i="4"/>
  <c r="D21" i="4"/>
  <c r="F21" i="4"/>
  <c r="G21" i="4"/>
  <c r="H21" i="4"/>
  <c r="E21" i="4"/>
  <c r="I21" i="4"/>
  <c r="J21" i="4"/>
  <c r="C22" i="4"/>
  <c r="D22" i="4"/>
  <c r="F22" i="4"/>
  <c r="G22" i="4"/>
  <c r="H22" i="4"/>
  <c r="E22" i="4"/>
  <c r="I22" i="4"/>
  <c r="J22" i="4"/>
  <c r="C23" i="4"/>
  <c r="D23" i="4"/>
  <c r="F23" i="4"/>
  <c r="G23" i="4"/>
  <c r="H23" i="4"/>
  <c r="E23" i="4"/>
  <c r="I23" i="4"/>
  <c r="J23" i="4"/>
  <c r="C24" i="4"/>
  <c r="D24" i="4"/>
  <c r="F24" i="4"/>
  <c r="G24" i="4"/>
  <c r="H24" i="4"/>
  <c r="E24" i="4"/>
  <c r="I24" i="4"/>
  <c r="J24" i="4"/>
  <c r="C25" i="4"/>
  <c r="D25" i="4"/>
  <c r="F25" i="4"/>
  <c r="G25" i="4"/>
  <c r="H25" i="4"/>
  <c r="E25" i="4"/>
  <c r="I25" i="4"/>
  <c r="J25" i="4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I4" i="3"/>
  <c r="H14" i="4"/>
  <c r="D3" i="2"/>
  <c r="G3" i="2"/>
  <c r="O3" i="2"/>
  <c r="D4" i="2"/>
  <c r="G4" i="2"/>
  <c r="O4" i="2"/>
  <c r="D5" i="2"/>
  <c r="G5" i="2"/>
  <c r="O5" i="2"/>
  <c r="D6" i="2"/>
  <c r="G6" i="2"/>
  <c r="O6" i="2"/>
  <c r="D7" i="2"/>
  <c r="G7" i="2"/>
  <c r="O7" i="2"/>
  <c r="D8" i="2"/>
  <c r="G8" i="2"/>
  <c r="O8" i="2"/>
  <c r="D9" i="2"/>
  <c r="G9" i="2"/>
  <c r="O9" i="2"/>
  <c r="D10" i="2"/>
  <c r="G10" i="2"/>
  <c r="O10" i="2"/>
  <c r="D11" i="2"/>
  <c r="G11" i="2"/>
  <c r="O11" i="2"/>
  <c r="D12" i="2"/>
  <c r="G12" i="2"/>
  <c r="O12" i="2"/>
  <c r="D13" i="2"/>
  <c r="G13" i="2"/>
  <c r="O13" i="2"/>
  <c r="D14" i="2"/>
  <c r="G14" i="2"/>
  <c r="O14" i="2"/>
  <c r="D15" i="2"/>
  <c r="G15" i="2"/>
  <c r="O15" i="2"/>
  <c r="D16" i="2"/>
  <c r="G16" i="2"/>
  <c r="O16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G4" i="3"/>
  <c r="M14" i="4"/>
  <c r="O14" i="4"/>
  <c r="H6" i="3"/>
  <c r="F6" i="3"/>
  <c r="L16" i="4"/>
  <c r="E6" i="3"/>
  <c r="J16" i="4"/>
  <c r="D6" i="3"/>
  <c r="I16" i="4"/>
  <c r="E8" i="5"/>
  <c r="L25" i="4"/>
  <c r="M25" i="4" s="1"/>
  <c r="O25" i="4" s="1"/>
  <c r="L24" i="4"/>
  <c r="M24" i="4" s="1"/>
  <c r="O24" i="4" s="1"/>
  <c r="W16" i="4"/>
  <c r="F4" i="3"/>
  <c r="L14" i="4"/>
  <c r="E4" i="3"/>
  <c r="J14" i="4"/>
  <c r="D4" i="3"/>
  <c r="I14" i="4"/>
  <c r="K14" i="4"/>
  <c r="H5" i="3"/>
  <c r="F5" i="3"/>
  <c r="L15" i="4"/>
  <c r="E5" i="3"/>
  <c r="J15" i="4"/>
  <c r="D5" i="3"/>
  <c r="I15" i="4"/>
  <c r="K15" i="4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B4" i="3"/>
  <c r="H4" i="3"/>
  <c r="N29" i="2"/>
  <c r="R29" i="2"/>
  <c r="N30" i="2"/>
  <c r="R30" i="2"/>
  <c r="N31" i="2"/>
  <c r="R31" i="2"/>
  <c r="N32" i="2"/>
  <c r="R32" i="2"/>
  <c r="N33" i="2"/>
  <c r="R33" i="2"/>
  <c r="N34" i="2"/>
  <c r="R34" i="2"/>
  <c r="N35" i="2"/>
  <c r="R35" i="2"/>
  <c r="H36" i="2"/>
  <c r="K36" i="2"/>
  <c r="L36" i="2"/>
  <c r="M36" i="2"/>
  <c r="N36" i="2"/>
  <c r="R36" i="2"/>
  <c r="N37" i="2"/>
  <c r="R37" i="2"/>
  <c r="H38" i="2"/>
  <c r="K38" i="2"/>
  <c r="L38" i="2"/>
  <c r="M38" i="2"/>
  <c r="N38" i="2"/>
  <c r="R38" i="2"/>
  <c r="N39" i="2"/>
  <c r="R39" i="2"/>
  <c r="H40" i="2"/>
  <c r="K40" i="2"/>
  <c r="L40" i="2"/>
  <c r="M40" i="2"/>
  <c r="N40" i="2"/>
  <c r="D40" i="2"/>
  <c r="G40" i="2"/>
  <c r="O40" i="2"/>
  <c r="R40" i="2"/>
  <c r="S40" i="2"/>
  <c r="H41" i="2"/>
  <c r="K41" i="2"/>
  <c r="L41" i="2"/>
  <c r="M41" i="2"/>
  <c r="N41" i="2"/>
  <c r="D41" i="2"/>
  <c r="G41" i="2"/>
  <c r="O41" i="2"/>
  <c r="R41" i="2"/>
  <c r="S41" i="2"/>
  <c r="H42" i="2"/>
  <c r="K42" i="2"/>
  <c r="L42" i="2"/>
  <c r="M42" i="2"/>
  <c r="N42" i="2"/>
  <c r="D42" i="2"/>
  <c r="G42" i="2"/>
  <c r="O42" i="2"/>
  <c r="R42" i="2"/>
  <c r="H43" i="2"/>
  <c r="K43" i="2"/>
  <c r="L43" i="2"/>
  <c r="M43" i="2"/>
  <c r="N43" i="2"/>
  <c r="R43" i="2"/>
  <c r="G43" i="2"/>
  <c r="D43" i="2"/>
  <c r="O43" i="2"/>
  <c r="S43" i="2"/>
  <c r="H44" i="2"/>
  <c r="K44" i="2"/>
  <c r="D44" i="2"/>
  <c r="G44" i="2"/>
  <c r="R44" i="2"/>
  <c r="H45" i="2"/>
  <c r="K45" i="2" s="1"/>
  <c r="D45" i="2"/>
  <c r="G45" i="2"/>
  <c r="R45" i="2"/>
  <c r="H46" i="2"/>
  <c r="K46" i="2" s="1"/>
  <c r="L46" i="2" s="1"/>
  <c r="M46" i="2" s="1"/>
  <c r="D46" i="2"/>
  <c r="G46" i="2"/>
  <c r="R46" i="2"/>
  <c r="H47" i="2"/>
  <c r="K47" i="2"/>
  <c r="L47" i="2"/>
  <c r="M47" i="2"/>
  <c r="N47" i="2"/>
  <c r="D47" i="2"/>
  <c r="G47" i="2"/>
  <c r="O47" i="2"/>
  <c r="R47" i="2"/>
  <c r="H48" i="2"/>
  <c r="K48" i="2"/>
  <c r="L48" i="2"/>
  <c r="M48" i="2"/>
  <c r="N48" i="2"/>
  <c r="D48" i="2"/>
  <c r="G48" i="2"/>
  <c r="O48" i="2"/>
  <c r="R48" i="2"/>
  <c r="S48" i="2"/>
  <c r="H49" i="2"/>
  <c r="K49" i="2"/>
  <c r="L49" i="2"/>
  <c r="M49" i="2"/>
  <c r="N49" i="2"/>
  <c r="D49" i="2"/>
  <c r="G49" i="2"/>
  <c r="O49" i="2"/>
  <c r="R49" i="2"/>
  <c r="S49" i="2"/>
  <c r="H50" i="2"/>
  <c r="K50" i="2"/>
  <c r="L50" i="2"/>
  <c r="M50" i="2"/>
  <c r="N50" i="2"/>
  <c r="D50" i="2"/>
  <c r="G50" i="2"/>
  <c r="O50" i="2"/>
  <c r="R50" i="2"/>
  <c r="S50" i="2"/>
  <c r="H51" i="2"/>
  <c r="K51" i="2"/>
  <c r="L51" i="2"/>
  <c r="M51" i="2"/>
  <c r="N51" i="2"/>
  <c r="D51" i="2"/>
  <c r="G51" i="2"/>
  <c r="O51" i="2"/>
  <c r="R51" i="2"/>
  <c r="H52" i="2"/>
  <c r="K52" i="2"/>
  <c r="L52" i="2"/>
  <c r="M52" i="2"/>
  <c r="N52" i="2"/>
  <c r="D52" i="2"/>
  <c r="G52" i="2"/>
  <c r="O52" i="2"/>
  <c r="R52" i="2"/>
  <c r="S52" i="2"/>
  <c r="H53" i="2"/>
  <c r="K53" i="2"/>
  <c r="L53" i="2"/>
  <c r="M53" i="2"/>
  <c r="N53" i="2"/>
  <c r="D53" i="2"/>
  <c r="G53" i="2"/>
  <c r="O53" i="2"/>
  <c r="R53" i="2"/>
  <c r="S53" i="2"/>
  <c r="H54" i="2"/>
  <c r="K54" i="2"/>
  <c r="L54" i="2"/>
  <c r="M54" i="2"/>
  <c r="N54" i="2"/>
  <c r="D54" i="2"/>
  <c r="G54" i="2"/>
  <c r="O54" i="2"/>
  <c r="R54" i="2"/>
  <c r="S54" i="2"/>
  <c r="H55" i="2"/>
  <c r="K55" i="2"/>
  <c r="L55" i="2"/>
  <c r="M55" i="2"/>
  <c r="N55" i="2"/>
  <c r="D55" i="2"/>
  <c r="G55" i="2"/>
  <c r="O55" i="2"/>
  <c r="R55" i="2"/>
  <c r="H56" i="2"/>
  <c r="K56" i="2"/>
  <c r="L56" i="2"/>
  <c r="M56" i="2"/>
  <c r="N56" i="2"/>
  <c r="D56" i="2"/>
  <c r="G56" i="2"/>
  <c r="O56" i="2"/>
  <c r="R56" i="2"/>
  <c r="S56" i="2"/>
  <c r="H57" i="2"/>
  <c r="K57" i="2"/>
  <c r="L57" i="2"/>
  <c r="M57" i="2"/>
  <c r="N57" i="2"/>
  <c r="D57" i="2"/>
  <c r="G57" i="2"/>
  <c r="O57" i="2"/>
  <c r="R57" i="2"/>
  <c r="S57" i="2"/>
  <c r="H58" i="2"/>
  <c r="K58" i="2"/>
  <c r="L58" i="2"/>
  <c r="M58" i="2"/>
  <c r="N58" i="2"/>
  <c r="D58" i="2"/>
  <c r="G58" i="2"/>
  <c r="O58" i="2"/>
  <c r="R58" i="2"/>
  <c r="H59" i="2"/>
  <c r="K59" i="2"/>
  <c r="L59" i="2"/>
  <c r="M59" i="2"/>
  <c r="N59" i="2"/>
  <c r="D59" i="2"/>
  <c r="G59" i="2"/>
  <c r="O59" i="2"/>
  <c r="R59" i="2"/>
  <c r="S59" i="2"/>
  <c r="H60" i="2"/>
  <c r="K60" i="2"/>
  <c r="L60" i="2"/>
  <c r="M60" i="2"/>
  <c r="N60" i="2"/>
  <c r="D60" i="2"/>
  <c r="G60" i="2"/>
  <c r="O60" i="2"/>
  <c r="R60" i="2"/>
  <c r="S60" i="2"/>
  <c r="H61" i="2"/>
  <c r="K61" i="2"/>
  <c r="L61" i="2"/>
  <c r="M61" i="2"/>
  <c r="N61" i="2"/>
  <c r="D61" i="2"/>
  <c r="G61" i="2"/>
  <c r="O61" i="2"/>
  <c r="R61" i="2"/>
  <c r="S61" i="2"/>
  <c r="H62" i="2"/>
  <c r="K62" i="2"/>
  <c r="L62" i="2"/>
  <c r="M62" i="2"/>
  <c r="N62" i="2"/>
  <c r="D62" i="2"/>
  <c r="G62" i="2"/>
  <c r="O62" i="2"/>
  <c r="R62" i="2"/>
  <c r="H63" i="2"/>
  <c r="K63" i="2"/>
  <c r="L63" i="2"/>
  <c r="M63" i="2"/>
  <c r="N63" i="2"/>
  <c r="D63" i="2"/>
  <c r="G63" i="2"/>
  <c r="O63" i="2"/>
  <c r="R63" i="2"/>
  <c r="H64" i="2"/>
  <c r="K64" i="2"/>
  <c r="L64" i="2"/>
  <c r="M64" i="2"/>
  <c r="N64" i="2"/>
  <c r="D64" i="2"/>
  <c r="G64" i="2"/>
  <c r="O64" i="2"/>
  <c r="R64" i="2"/>
  <c r="S64" i="2"/>
  <c r="H65" i="2"/>
  <c r="K65" i="2"/>
  <c r="L65" i="2"/>
  <c r="M65" i="2"/>
  <c r="N65" i="2"/>
  <c r="D65" i="2"/>
  <c r="G65" i="2"/>
  <c r="O65" i="2"/>
  <c r="R65" i="2"/>
  <c r="S65" i="2"/>
  <c r="H66" i="2"/>
  <c r="K66" i="2"/>
  <c r="L66" i="2"/>
  <c r="M66" i="2"/>
  <c r="N66" i="2"/>
  <c r="D66" i="2"/>
  <c r="G66" i="2"/>
  <c r="O66" i="2"/>
  <c r="R66" i="2"/>
  <c r="S66" i="2"/>
  <c r="H67" i="2"/>
  <c r="K67" i="2"/>
  <c r="L67" i="2"/>
  <c r="M67" i="2"/>
  <c r="N67" i="2"/>
  <c r="D67" i="2"/>
  <c r="G67" i="2"/>
  <c r="O67" i="2"/>
  <c r="R67" i="2"/>
  <c r="H68" i="2"/>
  <c r="K68" i="2"/>
  <c r="L68" i="2"/>
  <c r="M68" i="2"/>
  <c r="N68" i="2"/>
  <c r="D68" i="2"/>
  <c r="G68" i="2"/>
  <c r="O68" i="2"/>
  <c r="R68" i="2"/>
  <c r="S68" i="2"/>
  <c r="H69" i="2"/>
  <c r="K69" i="2"/>
  <c r="L69" i="2"/>
  <c r="M69" i="2"/>
  <c r="N69" i="2"/>
  <c r="D69" i="2"/>
  <c r="G69" i="2"/>
  <c r="O69" i="2"/>
  <c r="R69" i="2"/>
  <c r="S69" i="2"/>
  <c r="H70" i="2"/>
  <c r="K70" i="2"/>
  <c r="L70" i="2"/>
  <c r="M70" i="2"/>
  <c r="N70" i="2"/>
  <c r="D70" i="2"/>
  <c r="G70" i="2"/>
  <c r="O70" i="2"/>
  <c r="R70" i="2"/>
  <c r="S70" i="2"/>
  <c r="H71" i="2"/>
  <c r="K71" i="2"/>
  <c r="L71" i="2"/>
  <c r="M71" i="2"/>
  <c r="N71" i="2"/>
  <c r="D71" i="2"/>
  <c r="G71" i="2"/>
  <c r="O71" i="2"/>
  <c r="R71" i="2"/>
  <c r="H72" i="2"/>
  <c r="K72" i="2"/>
  <c r="L72" i="2"/>
  <c r="M72" i="2"/>
  <c r="N72" i="2"/>
  <c r="D72" i="2"/>
  <c r="G72" i="2"/>
  <c r="O72" i="2"/>
  <c r="R72" i="2"/>
  <c r="S72" i="2"/>
  <c r="H73" i="2"/>
  <c r="K73" i="2"/>
  <c r="L73" i="2"/>
  <c r="M73" i="2"/>
  <c r="N73" i="2"/>
  <c r="D73" i="2"/>
  <c r="G73" i="2"/>
  <c r="O73" i="2"/>
  <c r="R73" i="2"/>
  <c r="S73" i="2"/>
  <c r="H74" i="2"/>
  <c r="K74" i="2"/>
  <c r="L74" i="2"/>
  <c r="M74" i="2"/>
  <c r="N74" i="2"/>
  <c r="D74" i="2"/>
  <c r="G74" i="2"/>
  <c r="O74" i="2"/>
  <c r="R74" i="2"/>
  <c r="H75" i="2"/>
  <c r="K75" i="2"/>
  <c r="L75" i="2"/>
  <c r="M75" i="2"/>
  <c r="N75" i="2"/>
  <c r="D75" i="2"/>
  <c r="G75" i="2"/>
  <c r="O75" i="2"/>
  <c r="R75" i="2"/>
  <c r="S75" i="2"/>
  <c r="H76" i="2"/>
  <c r="K76" i="2"/>
  <c r="L76" i="2"/>
  <c r="M76" i="2"/>
  <c r="N76" i="2"/>
  <c r="D76" i="2"/>
  <c r="G76" i="2"/>
  <c r="O76" i="2"/>
  <c r="R76" i="2"/>
  <c r="S76" i="2"/>
  <c r="H77" i="2"/>
  <c r="K77" i="2"/>
  <c r="L77" i="2"/>
  <c r="M77" i="2"/>
  <c r="N77" i="2"/>
  <c r="D77" i="2"/>
  <c r="G77" i="2"/>
  <c r="O77" i="2"/>
  <c r="R77" i="2"/>
  <c r="S77" i="2"/>
  <c r="H78" i="2"/>
  <c r="K78" i="2"/>
  <c r="L78" i="2"/>
  <c r="M78" i="2"/>
  <c r="N78" i="2"/>
  <c r="D78" i="2"/>
  <c r="G78" i="2"/>
  <c r="O78" i="2"/>
  <c r="R78" i="2"/>
  <c r="S78" i="2"/>
  <c r="H79" i="2"/>
  <c r="K79" i="2"/>
  <c r="L79" i="2"/>
  <c r="M79" i="2"/>
  <c r="N79" i="2"/>
  <c r="D79" i="2"/>
  <c r="G79" i="2"/>
  <c r="O79" i="2"/>
  <c r="R79" i="2"/>
  <c r="S79" i="2"/>
  <c r="H80" i="2"/>
  <c r="K80" i="2"/>
  <c r="L80" i="2"/>
  <c r="M80" i="2"/>
  <c r="N80" i="2"/>
  <c r="D80" i="2"/>
  <c r="G80" i="2"/>
  <c r="O80" i="2"/>
  <c r="R80" i="2"/>
  <c r="S80" i="2"/>
  <c r="H81" i="2"/>
  <c r="K81" i="2"/>
  <c r="L81" i="2"/>
  <c r="M81" i="2"/>
  <c r="N81" i="2"/>
  <c r="D81" i="2"/>
  <c r="G81" i="2"/>
  <c r="O81" i="2"/>
  <c r="R81" i="2"/>
  <c r="S81" i="2"/>
  <c r="H82" i="2"/>
  <c r="K82" i="2"/>
  <c r="L82" i="2"/>
  <c r="M82" i="2"/>
  <c r="N82" i="2"/>
  <c r="D82" i="2"/>
  <c r="G82" i="2"/>
  <c r="O82" i="2"/>
  <c r="R82" i="2"/>
  <c r="S82" i="2"/>
  <c r="H83" i="2"/>
  <c r="K83" i="2"/>
  <c r="L83" i="2"/>
  <c r="M83" i="2"/>
  <c r="N83" i="2"/>
  <c r="D83" i="2"/>
  <c r="G83" i="2"/>
  <c r="O83" i="2"/>
  <c r="R83" i="2"/>
  <c r="H84" i="2"/>
  <c r="K84" i="2"/>
  <c r="L84" i="2"/>
  <c r="M84" i="2"/>
  <c r="N84" i="2"/>
  <c r="D84" i="2"/>
  <c r="G84" i="2"/>
  <c r="O84" i="2"/>
  <c r="R84" i="2"/>
  <c r="S84" i="2"/>
  <c r="H85" i="2"/>
  <c r="K85" i="2"/>
  <c r="L85" i="2"/>
  <c r="M85" i="2"/>
  <c r="N85" i="2"/>
  <c r="D85" i="2"/>
  <c r="G85" i="2"/>
  <c r="O85" i="2"/>
  <c r="R85" i="2"/>
  <c r="S85" i="2"/>
  <c r="H86" i="2"/>
  <c r="K86" i="2"/>
  <c r="L86" i="2"/>
  <c r="M86" i="2"/>
  <c r="N86" i="2"/>
  <c r="D86" i="2"/>
  <c r="G86" i="2"/>
  <c r="O86" i="2"/>
  <c r="R86" i="2"/>
  <c r="S86" i="2"/>
  <c r="H87" i="2"/>
  <c r="K87" i="2"/>
  <c r="L87" i="2"/>
  <c r="M87" i="2"/>
  <c r="N87" i="2"/>
  <c r="D87" i="2"/>
  <c r="G87" i="2"/>
  <c r="O87" i="2"/>
  <c r="R87" i="2"/>
  <c r="H88" i="2"/>
  <c r="K88" i="2"/>
  <c r="L88" i="2"/>
  <c r="M88" i="2"/>
  <c r="N88" i="2"/>
  <c r="D88" i="2"/>
  <c r="G88" i="2"/>
  <c r="O88" i="2"/>
  <c r="R88" i="2"/>
  <c r="S88" i="2"/>
  <c r="H17" i="2"/>
  <c r="K17" i="2"/>
  <c r="L17" i="2"/>
  <c r="M17" i="2"/>
  <c r="H18" i="2"/>
  <c r="K18" i="2"/>
  <c r="L18" i="2"/>
  <c r="M18" i="2"/>
  <c r="H19" i="2"/>
  <c r="K19" i="2"/>
  <c r="L19" i="2"/>
  <c r="M19" i="2"/>
  <c r="H20" i="2"/>
  <c r="K20" i="2"/>
  <c r="L20" i="2"/>
  <c r="M20" i="2"/>
  <c r="H21" i="2"/>
  <c r="K21" i="2"/>
  <c r="L21" i="2"/>
  <c r="M21" i="2"/>
  <c r="H22" i="2"/>
  <c r="K22" i="2"/>
  <c r="L22" i="2"/>
  <c r="M22" i="2"/>
  <c r="H23" i="2"/>
  <c r="K23" i="2"/>
  <c r="L23" i="2"/>
  <c r="M23" i="2"/>
  <c r="H24" i="2"/>
  <c r="K24" i="2"/>
  <c r="L24" i="2"/>
  <c r="M24" i="2"/>
  <c r="H25" i="2"/>
  <c r="K25" i="2"/>
  <c r="L25" i="2"/>
  <c r="M25" i="2"/>
  <c r="H26" i="2"/>
  <c r="K26" i="2"/>
  <c r="L26" i="2"/>
  <c r="M26" i="2"/>
  <c r="H27" i="2"/>
  <c r="K27" i="2"/>
  <c r="L27" i="2"/>
  <c r="M27" i="2"/>
  <c r="H28" i="2"/>
  <c r="K28" i="2"/>
  <c r="L28" i="2"/>
  <c r="M28" i="2"/>
  <c r="H29" i="2"/>
  <c r="K29" i="2"/>
  <c r="L29" i="2"/>
  <c r="M29" i="2"/>
  <c r="H30" i="2"/>
  <c r="K30" i="2"/>
  <c r="L30" i="2"/>
  <c r="M30" i="2"/>
  <c r="H31" i="2"/>
  <c r="K31" i="2"/>
  <c r="L31" i="2"/>
  <c r="M31" i="2"/>
  <c r="H32" i="2"/>
  <c r="K32" i="2"/>
  <c r="L32" i="2"/>
  <c r="M32" i="2"/>
  <c r="H33" i="2"/>
  <c r="K33" i="2"/>
  <c r="L33" i="2"/>
  <c r="M33" i="2"/>
  <c r="H34" i="2"/>
  <c r="K34" i="2"/>
  <c r="L34" i="2"/>
  <c r="M34" i="2"/>
  <c r="H35" i="2"/>
  <c r="K35" i="2"/>
  <c r="L35" i="2"/>
  <c r="M35" i="2"/>
  <c r="H37" i="2"/>
  <c r="K37" i="2"/>
  <c r="L37" i="2"/>
  <c r="M37" i="2"/>
  <c r="H39" i="2"/>
  <c r="K39" i="2"/>
  <c r="L39" i="2"/>
  <c r="M39" i="2"/>
  <c r="G29" i="2"/>
  <c r="G30" i="2"/>
  <c r="G31" i="2"/>
  <c r="D31" i="2"/>
  <c r="O31" i="2"/>
  <c r="G32" i="2"/>
  <c r="G33" i="2"/>
  <c r="G34" i="2"/>
  <c r="G35" i="2"/>
  <c r="D35" i="2"/>
  <c r="O35" i="2"/>
  <c r="G36" i="2"/>
  <c r="G37" i="2"/>
  <c r="G38" i="2"/>
  <c r="G39" i="2"/>
  <c r="D29" i="2"/>
  <c r="D30" i="2"/>
  <c r="D32" i="2"/>
  <c r="O32" i="2"/>
  <c r="S32" i="2"/>
  <c r="D33" i="2"/>
  <c r="D34" i="2"/>
  <c r="O34" i="2"/>
  <c r="D36" i="2"/>
  <c r="D37" i="2"/>
  <c r="D38" i="2"/>
  <c r="D39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H3" i="2"/>
  <c r="K3" i="2"/>
  <c r="L3" i="2"/>
  <c r="M3" i="2"/>
  <c r="L23" i="4"/>
  <c r="M23" i="4" s="1"/>
  <c r="O23" i="4" s="1"/>
  <c r="L22" i="4"/>
  <c r="M22" i="4" s="1"/>
  <c r="O22" i="4" s="1"/>
  <c r="L21" i="4"/>
  <c r="M21" i="4" s="1"/>
  <c r="O21" i="4" s="1"/>
  <c r="L20" i="4"/>
  <c r="M20" i="4" s="1"/>
  <c r="O20" i="4" s="1"/>
  <c r="L19" i="4"/>
  <c r="M19" i="4" s="1"/>
  <c r="O19" i="4" s="1"/>
  <c r="L18" i="4"/>
  <c r="M18" i="4" s="1"/>
  <c r="O18" i="4" s="1"/>
  <c r="E15" i="4"/>
  <c r="D15" i="4"/>
  <c r="C15" i="4"/>
  <c r="C3" i="4"/>
  <c r="C1" i="3"/>
  <c r="H16" i="2"/>
  <c r="K16" i="2"/>
  <c r="L16" i="2"/>
  <c r="M16" i="2"/>
  <c r="O39" i="2"/>
  <c r="S39" i="2"/>
  <c r="O38" i="2"/>
  <c r="S38" i="2"/>
  <c r="O37" i="2"/>
  <c r="S37" i="2"/>
  <c r="O36" i="2"/>
  <c r="S36" i="2"/>
  <c r="O33" i="2"/>
  <c r="S33" i="2"/>
  <c r="I6" i="3"/>
  <c r="H16" i="4"/>
  <c r="S28" i="2"/>
  <c r="O30" i="2"/>
  <c r="O29" i="2"/>
  <c r="S29" i="2"/>
  <c r="S27" i="2"/>
  <c r="K4" i="3"/>
  <c r="S25" i="2"/>
  <c r="S24" i="2"/>
  <c r="S21" i="2"/>
  <c r="S20" i="2"/>
  <c r="S19" i="2"/>
  <c r="S17" i="2"/>
  <c r="S22" i="2"/>
  <c r="S74" i="2"/>
  <c r="S42" i="2"/>
  <c r="S26" i="2"/>
  <c r="S87" i="2"/>
  <c r="S67" i="2"/>
  <c r="S62" i="2"/>
  <c r="S51" i="2"/>
  <c r="S35" i="2"/>
  <c r="S30" i="2"/>
  <c r="S63" i="2"/>
  <c r="S58" i="2"/>
  <c r="S47" i="2"/>
  <c r="S31" i="2"/>
  <c r="S83" i="2"/>
  <c r="S71" i="2"/>
  <c r="S55" i="2"/>
  <c r="S34" i="2"/>
  <c r="S23" i="2"/>
  <c r="S18" i="2"/>
  <c r="C4" i="5"/>
  <c r="B6" i="3"/>
  <c r="G6" i="3"/>
  <c r="B5" i="3"/>
  <c r="K5" i="3"/>
  <c r="C4" i="3"/>
  <c r="K6" i="3"/>
  <c r="M16" i="4"/>
  <c r="O16" i="4"/>
  <c r="C5" i="3"/>
  <c r="C6" i="3"/>
  <c r="C8" i="5"/>
  <c r="K25" i="4"/>
  <c r="K22" i="4"/>
  <c r="Q14" i="4"/>
  <c r="K24" i="4"/>
  <c r="K21" i="4"/>
  <c r="K16" i="4"/>
  <c r="K23" i="4"/>
  <c r="K18" i="4"/>
  <c r="K20" i="4"/>
  <c r="K19" i="4"/>
  <c r="Q15" i="4"/>
  <c r="Q16" i="4"/>
  <c r="O46" i="2" l="1"/>
  <c r="S46" i="2" s="1"/>
  <c r="O45" i="2"/>
  <c r="S45" i="2"/>
  <c r="H7" i="3"/>
  <c r="L45" i="2"/>
  <c r="M45" i="2" s="1"/>
  <c r="K17" i="4"/>
  <c r="O44" i="2"/>
  <c r="G7" i="3" s="1"/>
  <c r="M17" i="4" s="1"/>
  <c r="N44" i="2"/>
  <c r="L44" i="2"/>
  <c r="M44" i="2" s="1"/>
  <c r="I7" i="3" l="1"/>
  <c r="S44" i="2"/>
  <c r="B7" i="3" s="1"/>
  <c r="C7" i="3" s="1"/>
  <c r="C8" i="3" s="1"/>
  <c r="C9" i="3" s="1"/>
  <c r="C10" i="3" s="1"/>
  <c r="C11" i="3" s="1"/>
  <c r="C12" i="3" s="1"/>
  <c r="K7" i="3" l="1"/>
  <c r="H17" i="4"/>
  <c r="Q17" i="4" l="1"/>
  <c r="Q18" i="4" s="1"/>
  <c r="Q19" i="4" s="1"/>
  <c r="Q20" i="4" s="1"/>
  <c r="Q21" i="4" s="1"/>
  <c r="Q22" i="4" s="1"/>
  <c r="Q23" i="4" s="1"/>
  <c r="Q24" i="4" s="1"/>
  <c r="Q25" i="4" s="1"/>
</calcChain>
</file>

<file path=xl/sharedStrings.xml><?xml version="1.0" encoding="utf-8"?>
<sst xmlns="http://schemas.openxmlformats.org/spreadsheetml/2006/main" count="99" uniqueCount="68">
  <si>
    <t>Month</t>
  </si>
  <si>
    <t>Peak (kWh)</t>
  </si>
  <si>
    <t>Off-Peak (kWh)</t>
  </si>
  <si>
    <t>Demand (kWh)</t>
  </si>
  <si>
    <t>Total Grid (kWh)</t>
  </si>
  <si>
    <t>Percentage Peak</t>
  </si>
  <si>
    <t>kWh</t>
  </si>
  <si>
    <t>Rate</t>
  </si>
  <si>
    <t>Cost without solar</t>
  </si>
  <si>
    <t>Cost</t>
  </si>
  <si>
    <t>Savings</t>
  </si>
  <si>
    <t>Actual Cost</t>
  </si>
  <si>
    <t>Year</t>
  </si>
  <si>
    <t>Bill Savings</t>
  </si>
  <si>
    <t>Initial System Cost:</t>
  </si>
  <si>
    <t>Remaining</t>
  </si>
  <si>
    <t>Remaining to break-even</t>
  </si>
  <si>
    <t>Main solar/battery bill:</t>
  </si>
  <si>
    <t>Myenergi Hub + 1x CT</t>
  </si>
  <si>
    <t>Eddi relay board + 1x CT</t>
  </si>
  <si>
    <t>Peak Rate</t>
  </si>
  <si>
    <t>Off-peak Rate</t>
  </si>
  <si>
    <t>Annual Peak Demand:</t>
  </si>
  <si>
    <t>For 2022</t>
  </si>
  <si>
    <t>Annual Peak Grid:</t>
  </si>
  <si>
    <t>Peak Grid Split:</t>
  </si>
  <si>
    <t>Annual Off-Peak Grid:</t>
  </si>
  <si>
    <t>Annual Off-Peak Demand:</t>
  </si>
  <si>
    <t>Annual Total Demand</t>
  </si>
  <si>
    <t>Rates</t>
  </si>
  <si>
    <t>Peak kWh</t>
  </si>
  <si>
    <t>Off-Peak kWh</t>
  </si>
  <si>
    <t>Parameters:</t>
  </si>
  <si>
    <t>Annual Grid Draw with Solar and Battery</t>
  </si>
  <si>
    <t>Notes</t>
  </si>
  <si>
    <t>Real Data</t>
  </si>
  <si>
    <t>Forecast</t>
  </si>
  <si>
    <t>Inflation</t>
  </si>
  <si>
    <t>Peak Split With Solar and Battery</t>
  </si>
  <si>
    <t>Estimated Peak Split Without Solar/Battery</t>
  </si>
  <si>
    <t>Export</t>
  </si>
  <si>
    <t>Export kWh</t>
  </si>
  <si>
    <t>Export Rate</t>
  </si>
  <si>
    <t>Annual Export</t>
  </si>
  <si>
    <t>Annual Demand</t>
  </si>
  <si>
    <t>Initial System Cost</t>
  </si>
  <si>
    <t>Without Solar &amp; Battery</t>
  </si>
  <si>
    <t>With Solar &amp; Battery</t>
  </si>
  <si>
    <t>Peak Demand</t>
  </si>
  <si>
    <t>Off-peak Demand</t>
  </si>
  <si>
    <t>Peak Grid Draw</t>
  </si>
  <si>
    <t>Off-Peak Grid Draw</t>
  </si>
  <si>
    <t>Includes December 2021</t>
  </si>
  <si>
    <t>Demand</t>
  </si>
  <si>
    <t>Cost Without Solar</t>
  </si>
  <si>
    <t>Cost with Solar</t>
  </si>
  <si>
    <t>(Forecast)</t>
  </si>
  <si>
    <t>Split</t>
  </si>
  <si>
    <t>AIO Install</t>
  </si>
  <si>
    <t>AC3 Reconnection</t>
  </si>
  <si>
    <t>Adjusted from 54 - 75% due to additional peak demand from heat pump</t>
  </si>
  <si>
    <t>Added 2500kWh estimated heat pump demand</t>
  </si>
  <si>
    <t>Reduced export based on increased battery storage</t>
  </si>
  <si>
    <t>Adjusted for heat pump:</t>
  </si>
  <si>
    <t>kWh annually</t>
  </si>
  <si>
    <t>DFS</t>
  </si>
  <si>
    <t>Solar (kWh)</t>
  </si>
  <si>
    <t>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</si>
</sst>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£&quot;* #,##0.00_);_(&quot;£&quot;* \(#,##0.00\);_(&quot;£&quot;* &quot;-&quot;??_);_(@_)"/>
    <numFmt numFmtId="164" formatCode="_-[$£-809]* #,##0.00_-;\-[$£-809]* #,##0.00_-;_-[$£-809]* &quot;-&quot;??_-;_-@_-"/>
    <numFmt numFmtId="165" formatCode="0.0000"/>
    <numFmt numFmtId="166" formatCode="0.000"/>
    <numFmt numFmtId="167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4" tint="0.5999938962981048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B4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E4DE"/>
        <bgColor indexed="64"/>
      </patternFill>
    </fill>
    <fill>
      <patternFill patternType="solid">
        <fgColor rgb="FFF78A8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7" fontId="0" fillId="0" borderId="0" xfId="0" applyNumberFormat="1"/>
    <xf numFmtId="0" fontId="2" fillId="0" borderId="0" xfId="0" applyFont="1"/>
    <xf numFmtId="44" fontId="0" fillId="0" borderId="0" xfId="1" applyFont="1"/>
    <xf numFmtId="164" fontId="2" fillId="0" borderId="0" xfId="0" applyNumberFormat="1" applyFont="1"/>
    <xf numFmtId="164" fontId="0" fillId="0" borderId="0" xfId="0" applyNumberFormat="1"/>
    <xf numFmtId="44" fontId="2" fillId="0" borderId="0" xfId="1" applyFont="1"/>
    <xf numFmtId="9" fontId="0" fillId="0" borderId="0" xfId="2" applyFont="1"/>
    <xf numFmtId="0" fontId="0" fillId="0" borderId="0" xfId="2" applyNumberFormat="1" applyFont="1"/>
    <xf numFmtId="0" fontId="2" fillId="2" borderId="0" xfId="0" applyFont="1" applyFill="1"/>
    <xf numFmtId="0" fontId="0" fillId="2" borderId="0" xfId="0" applyFill="1"/>
    <xf numFmtId="44" fontId="0" fillId="2" borderId="0" xfId="1" applyFont="1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44" fontId="0" fillId="4" borderId="0" xfId="1" applyFont="1" applyFill="1"/>
    <xf numFmtId="0" fontId="0" fillId="5" borderId="0" xfId="0" applyFill="1"/>
    <xf numFmtId="0" fontId="2" fillId="5" borderId="0" xfId="0" applyFont="1" applyFill="1"/>
    <xf numFmtId="0" fontId="0" fillId="0" borderId="0" xfId="1" applyNumberFormat="1" applyFont="1"/>
    <xf numFmtId="44" fontId="0" fillId="6" borderId="0" xfId="1" applyFont="1" applyFill="1"/>
    <xf numFmtId="44" fontId="2" fillId="6" borderId="0" xfId="1" applyFont="1" applyFill="1"/>
    <xf numFmtId="44" fontId="0" fillId="7" borderId="0" xfId="1" applyFont="1" applyFill="1"/>
    <xf numFmtId="44" fontId="2" fillId="7" borderId="0" xfId="1" applyFont="1" applyFill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/>
    <xf numFmtId="44" fontId="3" fillId="0" borderId="0" xfId="1" applyFont="1" applyBorder="1"/>
    <xf numFmtId="0" fontId="3" fillId="0" borderId="0" xfId="0" applyFont="1"/>
    <xf numFmtId="9" fontId="3" fillId="0" borderId="0" xfId="2" applyFont="1" applyBorder="1"/>
    <xf numFmtId="0" fontId="3" fillId="0" borderId="0" xfId="1" applyNumberFormat="1" applyFont="1" applyBorder="1"/>
    <xf numFmtId="9" fontId="3" fillId="0" borderId="7" xfId="2" applyFont="1" applyBorder="1"/>
    <xf numFmtId="165" fontId="0" fillId="3" borderId="0" xfId="0" applyNumberFormat="1" applyFill="1"/>
    <xf numFmtId="0" fontId="2" fillId="0" borderId="0" xfId="1" applyNumberFormat="1" applyFont="1"/>
    <xf numFmtId="166" fontId="0" fillId="3" borderId="0" xfId="0" applyNumberFormat="1" applyFill="1"/>
    <xf numFmtId="0" fontId="5" fillId="0" borderId="0" xfId="0" applyFont="1"/>
    <xf numFmtId="0" fontId="6" fillId="0" borderId="0" xfId="0" applyFont="1"/>
    <xf numFmtId="0" fontId="2" fillId="8" borderId="0" xfId="0" applyFont="1" applyFill="1"/>
    <xf numFmtId="0" fontId="0" fillId="8" borderId="0" xfId="0" applyFill="1"/>
    <xf numFmtId="0" fontId="2" fillId="8" borderId="0" xfId="1" applyNumberFormat="1" applyFont="1" applyFill="1"/>
    <xf numFmtId="0" fontId="0" fillId="8" borderId="0" xfId="1" applyNumberFormat="1" applyFont="1" applyFill="1"/>
    <xf numFmtId="44" fontId="0" fillId="0" borderId="0" xfId="0" applyNumberFormat="1"/>
    <xf numFmtId="44" fontId="0" fillId="9" borderId="0" xfId="1" applyFont="1" applyFill="1"/>
    <xf numFmtId="44" fontId="2" fillId="9" borderId="0" xfId="1" applyFont="1" applyFill="1"/>
    <xf numFmtId="17" fontId="0" fillId="0" borderId="7" xfId="0" applyNumberFormat="1" applyBorder="1"/>
    <xf numFmtId="0" fontId="0" fillId="8" borderId="7" xfId="0" applyFill="1" applyBorder="1"/>
    <xf numFmtId="44" fontId="0" fillId="0" borderId="7" xfId="1" applyFont="1" applyBorder="1"/>
    <xf numFmtId="0" fontId="0" fillId="0" borderId="7" xfId="0" applyBorder="1"/>
    <xf numFmtId="0" fontId="6" fillId="0" borderId="7" xfId="0" applyFont="1" applyBorder="1"/>
    <xf numFmtId="164" fontId="0" fillId="0" borderId="7" xfId="0" applyNumberFormat="1" applyBorder="1"/>
    <xf numFmtId="0" fontId="0" fillId="8" borderId="7" xfId="1" applyNumberFormat="1" applyFont="1" applyFill="1" applyBorder="1"/>
    <xf numFmtId="44" fontId="7" fillId="9" borderId="0" xfId="1" applyFont="1" applyFill="1"/>
    <xf numFmtId="0" fontId="8" fillId="3" borderId="0" xfId="0" applyFont="1" applyFill="1"/>
    <xf numFmtId="165" fontId="8" fillId="3" borderId="0" xfId="0" applyNumberFormat="1" applyFont="1" applyFill="1"/>
    <xf numFmtId="166" fontId="8" fillId="3" borderId="0" xfId="0" applyNumberFormat="1" applyFont="1" applyFill="1"/>
    <xf numFmtId="9" fontId="0" fillId="4" borderId="0" xfId="2" applyFont="1" applyFill="1"/>
    <xf numFmtId="0" fontId="2" fillId="10" borderId="0" xfId="0" applyFont="1" applyFill="1" applyAlignment="1">
      <alignment horizontal="center"/>
    </xf>
    <xf numFmtId="0" fontId="2" fillId="10" borderId="0" xfId="0" applyFont="1" applyFill="1"/>
    <xf numFmtId="44" fontId="0" fillId="10" borderId="0" xfId="1" applyFont="1" applyFill="1"/>
    <xf numFmtId="44" fontId="7" fillId="11" borderId="0" xfId="1" applyFont="1" applyFill="1"/>
    <xf numFmtId="0" fontId="2" fillId="5" borderId="0" xfId="0" applyFont="1" applyFill="1" applyAlignment="1">
      <alignment horizontal="right"/>
    </xf>
    <xf numFmtId="167" fontId="2" fillId="0" borderId="0" xfId="2" applyNumberFormat="1" applyFont="1"/>
    <xf numFmtId="167" fontId="0" fillId="0" borderId="0" xfId="2" applyNumberFormat="1" applyFont="1"/>
    <xf numFmtId="167" fontId="0" fillId="0" borderId="7" xfId="2" applyNumberFormat="1" applyFont="1" applyBorder="1"/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F78A84"/>
      <color rgb="FFA5E4DE"/>
      <color rgb="FFE8B4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/>
              <a:t>Break-even</a:t>
            </a:r>
            <a:r>
              <a:rPr lang="en-GB" sz="2800" baseline="0"/>
              <a:t> Forecast</a:t>
            </a:r>
            <a:endParaRPr lang="en-GB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Forecast!$O$13</c:f>
              <c:strCache>
                <c:ptCount val="1"/>
                <c:pt idx="0">
                  <c:v> Bill Savings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Forecast!$B$14:$B$21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Forecast!$O$14:$O$21</c:f>
              <c:numCache>
                <c:formatCode>_("£"* #,##0.00_);_("£"* \(#,##0.00\);_("£"* "-"??_);_(@_)</c:formatCode>
                <c:ptCount val="8"/>
                <c:pt idx="0">
                  <c:v>568.21100719999993</c:v>
                </c:pt>
                <c:pt idx="1">
                  <c:v>1220.4276906</c:v>
                </c:pt>
                <c:pt idx="2">
                  <c:v>1584.9233716400004</c:v>
                </c:pt>
                <c:pt idx="3">
                  <c:v>1021.0195151399998</c:v>
                </c:pt>
                <c:pt idx="4">
                  <c:v>2336.6033550000002</c:v>
                </c:pt>
                <c:pt idx="5">
                  <c:v>2406.7014556499994</c:v>
                </c:pt>
                <c:pt idx="6">
                  <c:v>2478.9024993194998</c:v>
                </c:pt>
                <c:pt idx="7">
                  <c:v>2553.269574299085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9-0545-9D37-022CA2B6C7AD}"/>
            </c:ext>
          </c:extLst>
        </c:ser>
        <c:ser>
          <c:idx val="1"/>
          <c:order val="1"/>
          <c:tx>
            <c:strRef>
              <c:f>Forecast!$Q$13</c:f>
              <c:strCache>
                <c:ptCount val="1"/>
                <c:pt idx="0">
                  <c:v> Remaining to break-even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Forecast!$B$14:$B$21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Forecast!$Q$14:$Q$21</c:f>
              <c:numCache>
                <c:formatCode>_("£"* #,##0.00_);_("£"* \(#,##0.00\);_("£"* "-"??_);_(@_)</c:formatCode>
                <c:ptCount val="8"/>
                <c:pt idx="0">
                  <c:v>12257.498992800003</c:v>
                </c:pt>
                <c:pt idx="1">
                  <c:v>11037.071302200004</c:v>
                </c:pt>
                <c:pt idx="2">
                  <c:v>9452.1479305600042</c:v>
                </c:pt>
                <c:pt idx="3">
                  <c:v>8431.1284154200039</c:v>
                </c:pt>
                <c:pt idx="4">
                  <c:v>6094.5250604200037</c:v>
                </c:pt>
                <c:pt idx="5">
                  <c:v>3687.8236047700043</c:v>
                </c:pt>
                <c:pt idx="6">
                  <c:v>1208.9211054505045</c:v>
                </c:pt>
                <c:pt idx="7">
                  <c:v>-1344.3484688485805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9-0545-9D37-022CA2B6C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308575"/>
        <c:axId val="184304207"/>
      </c:barChart>
      <c:catAx>
        <c:axId val="18430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04207"/>
        <c:crosses val="autoZero"/>
        <c:auto val="1"/>
        <c:lblAlgn val="ctr"/>
        <c:lblOffset val="100"/>
        <c:noMultiLvlLbl val="0"/>
      </c:catAx>
      <c:valAx>
        <c:axId val="184304207"/>
        <c:scaling>
          <c:orientation val="minMax"/>
          <c:max val="13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0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71262</xdr:colOff>
      <xdr:row>25</xdr:row>
      <xdr:rowOff>150284</xdr:rowOff>
    </xdr:from>
    <xdr:to>
      <xdr:col>17</xdr:col>
      <xdr:colOff>762001</xdr:colOff>
      <xdr:row>62</xdr:row>
      <xdr:rowOff>57727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9FEA8A-229E-05D7-7D27-A5BC59863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8A73-3675-EB48-BDCD-A984088355C5}">
  <dimension ref="B1:W25"/>
  <sheetViews>
    <sheetView tabSelected="1" zoomScale="110" zoomScaleNormal="110" workbookViewId="0">
      <selection activeCell="F8" sqref="F8"/>
    </sheetView>
  </sheetViews>
  <sheetFormatPr baseColWidth="10" defaultRowHeight="16" x14ac:dyDescent="0.2"/>
  <cols>
    <col min="1" max="1" width="3.1640625" customWidth="1"/>
    <col min="2" max="2" width="21.1640625" customWidth="1"/>
    <col min="3" max="3" width="12.1640625" bestFit="1" customWidth="1"/>
    <col min="4" max="4" width="12.83203125" bestFit="1" customWidth="1"/>
    <col min="5" max="5" width="12.83203125" customWidth="1"/>
    <col min="7" max="7" width="12.83203125" bestFit="1" customWidth="1"/>
    <col min="10" max="10" width="12.83203125" bestFit="1" customWidth="1"/>
    <col min="11" max="11" width="6.1640625" customWidth="1"/>
    <col min="12" max="12" width="11.1640625" bestFit="1" customWidth="1"/>
    <col min="13" max="13" width="13" customWidth="1"/>
    <col min="14" max="14" width="10.33203125" customWidth="1"/>
    <col min="15" max="15" width="12" style="3" bestFit="1" customWidth="1"/>
    <col min="16" max="16" width="12" style="3" customWidth="1"/>
    <col min="17" max="17" width="23.6640625" style="3" bestFit="1" customWidth="1"/>
    <col min="19" max="19" width="16.1640625" customWidth="1"/>
    <col min="20" max="20" width="3.1640625" customWidth="1"/>
  </cols>
  <sheetData>
    <row r="1" spans="2:23" ht="17" thickBot="1" x14ac:dyDescent="0.25"/>
    <row r="2" spans="2:23" x14ac:dyDescent="0.2">
      <c r="B2" s="24" t="s">
        <v>32</v>
      </c>
      <c r="C2" s="25"/>
      <c r="D2" s="26"/>
    </row>
    <row r="3" spans="2:23" x14ac:dyDescent="0.2">
      <c r="B3" s="27" t="s">
        <v>45</v>
      </c>
      <c r="C3" s="32">
        <f>SUM(W12:W20)</f>
        <v>12825.710000000003</v>
      </c>
      <c r="D3" s="28"/>
    </row>
    <row r="4" spans="2:23" x14ac:dyDescent="0.2">
      <c r="B4" s="27" t="s">
        <v>44</v>
      </c>
      <c r="C4" s="33">
        <f>'Demand v Grid'!E4</f>
        <v>13527.470000000001</v>
      </c>
      <c r="D4" s="28" t="s">
        <v>6</v>
      </c>
      <c r="F4" t="s">
        <v>61</v>
      </c>
    </row>
    <row r="5" spans="2:23" x14ac:dyDescent="0.2">
      <c r="B5" s="27" t="s">
        <v>43</v>
      </c>
      <c r="C5" s="33">
        <v>750</v>
      </c>
      <c r="D5" s="28" t="s">
        <v>6</v>
      </c>
      <c r="F5" t="s">
        <v>62</v>
      </c>
    </row>
    <row r="6" spans="2:23" ht="34" x14ac:dyDescent="0.2">
      <c r="B6" s="29" t="s">
        <v>39</v>
      </c>
      <c r="C6" s="34">
        <v>0.75</v>
      </c>
      <c r="D6" s="28"/>
      <c r="F6" t="s">
        <v>60</v>
      </c>
    </row>
    <row r="7" spans="2:23" ht="34" x14ac:dyDescent="0.2">
      <c r="B7" s="29" t="s">
        <v>33</v>
      </c>
      <c r="C7" s="35">
        <f>'Demand v Grid'!E6+'Demand v Grid'!E7</f>
        <v>9531.5650000000005</v>
      </c>
      <c r="D7" s="28" t="s">
        <v>6</v>
      </c>
    </row>
    <row r="8" spans="2:23" ht="34" x14ac:dyDescent="0.2">
      <c r="B8" s="29" t="s">
        <v>38</v>
      </c>
      <c r="C8" s="34">
        <v>0.1</v>
      </c>
      <c r="D8" s="28"/>
    </row>
    <row r="9" spans="2:23" ht="18" thickBot="1" x14ac:dyDescent="0.25">
      <c r="B9" s="30" t="s">
        <v>37</v>
      </c>
      <c r="C9" s="36">
        <v>0.03</v>
      </c>
      <c r="D9" s="31"/>
    </row>
    <row r="12" spans="2:23" x14ac:dyDescent="0.2">
      <c r="B12" s="17"/>
      <c r="C12" s="71" t="s">
        <v>29</v>
      </c>
      <c r="D12" s="71"/>
      <c r="E12" s="71"/>
      <c r="F12" s="69" t="s">
        <v>46</v>
      </c>
      <c r="G12" s="69"/>
      <c r="H12" s="69"/>
      <c r="I12" s="70" t="s">
        <v>47</v>
      </c>
      <c r="J12" s="70"/>
      <c r="K12" s="70"/>
      <c r="L12" s="70"/>
      <c r="M12" s="70"/>
      <c r="N12" s="61"/>
      <c r="O12" s="20"/>
      <c r="P12" s="47"/>
      <c r="Q12" s="22"/>
      <c r="R12" s="17"/>
      <c r="U12" t="s">
        <v>17</v>
      </c>
      <c r="W12">
        <v>9881.5300000000007</v>
      </c>
    </row>
    <row r="13" spans="2:23" x14ac:dyDescent="0.2">
      <c r="B13" s="65" t="s">
        <v>12</v>
      </c>
      <c r="C13" s="12" t="s">
        <v>20</v>
      </c>
      <c r="D13" s="12" t="s">
        <v>21</v>
      </c>
      <c r="E13" s="12" t="s">
        <v>42</v>
      </c>
      <c r="F13" s="9" t="s">
        <v>30</v>
      </c>
      <c r="G13" s="9" t="s">
        <v>31</v>
      </c>
      <c r="H13" s="9" t="s">
        <v>9</v>
      </c>
      <c r="I13" s="14" t="s">
        <v>30</v>
      </c>
      <c r="J13" s="14" t="s">
        <v>31</v>
      </c>
      <c r="K13" s="14" t="s">
        <v>57</v>
      </c>
      <c r="L13" s="14" t="s">
        <v>41</v>
      </c>
      <c r="M13" s="14" t="s">
        <v>9</v>
      </c>
      <c r="N13" s="62" t="s">
        <v>65</v>
      </c>
      <c r="O13" s="21" t="s">
        <v>13</v>
      </c>
      <c r="P13" s="48" t="s">
        <v>56</v>
      </c>
      <c r="Q13" s="23" t="s">
        <v>16</v>
      </c>
      <c r="R13" s="18" t="s">
        <v>34</v>
      </c>
      <c r="U13" t="s">
        <v>18</v>
      </c>
      <c r="W13">
        <v>108.12</v>
      </c>
    </row>
    <row r="14" spans="2:23" x14ac:dyDescent="0.2">
      <c r="B14" s="17">
        <v>2022</v>
      </c>
      <c r="C14" s="57"/>
      <c r="D14" s="57"/>
      <c r="E14" s="57">
        <v>4.1000000000000002E-2</v>
      </c>
      <c r="F14" s="10"/>
      <c r="G14" s="10"/>
      <c r="H14" s="11">
        <f>'Annual Summary'!I4</f>
        <v>1300.2299072000001</v>
      </c>
      <c r="I14" s="15">
        <f>'Annual Summary'!D4</f>
        <v>2531.9699999999998</v>
      </c>
      <c r="J14" s="15">
        <f>'Annual Summary'!E4</f>
        <v>6693.5700000000006</v>
      </c>
      <c r="K14" s="60">
        <f>I14/(J14+I14)</f>
        <v>0.2744522271867012</v>
      </c>
      <c r="L14" s="15">
        <f>'Annual Summary'!F4</f>
        <v>1216.1999999999998</v>
      </c>
      <c r="M14" s="16">
        <f>'Annual Summary'!G4</f>
        <v>732.01890000000014</v>
      </c>
      <c r="N14" s="63"/>
      <c r="O14" s="20">
        <f>H14-M14+N14</f>
        <v>568.21100719999993</v>
      </c>
      <c r="P14" s="47"/>
      <c r="Q14" s="22">
        <f>C3-O14</f>
        <v>12257.498992800003</v>
      </c>
      <c r="R14" s="17" t="s">
        <v>35</v>
      </c>
      <c r="S14" s="46"/>
      <c r="U14" t="s">
        <v>19</v>
      </c>
      <c r="W14">
        <v>65.95</v>
      </c>
    </row>
    <row r="15" spans="2:23" x14ac:dyDescent="0.2">
      <c r="B15" s="17">
        <v>2023</v>
      </c>
      <c r="C15" s="58">
        <f>(0.4217+0.142)/2</f>
        <v>0.28184999999999999</v>
      </c>
      <c r="D15" s="57">
        <f>(0.12+0.05)/2</f>
        <v>8.4999999999999992E-2</v>
      </c>
      <c r="E15" s="59">
        <f t="shared" ref="E15:E25" si="0">E14*(1+$C$9)</f>
        <v>4.2230000000000004E-2</v>
      </c>
      <c r="F15" s="10"/>
      <c r="G15" s="10"/>
      <c r="H15" s="11">
        <f>'Annual Summary'!I5</f>
        <v>1931.8252146</v>
      </c>
      <c r="I15" s="15">
        <f>'Annual Summary'!D5</f>
        <v>852.42000000000007</v>
      </c>
      <c r="J15" s="15">
        <f>'Annual Summary'!E5</f>
        <v>7911.5800000000008</v>
      </c>
      <c r="K15" s="60">
        <f t="shared" ref="K15:K23" si="1">I15/(J15+I15)</f>
        <v>9.7263806481058881E-2</v>
      </c>
      <c r="L15" s="15">
        <f>'Annual Summary'!F5</f>
        <v>808.43</v>
      </c>
      <c r="M15" s="16">
        <f>'Annual Summary'!G5</f>
        <v>711.39752399999986</v>
      </c>
      <c r="N15" s="63"/>
      <c r="O15" s="20">
        <f t="shared" ref="O15:O25" si="2">H15-M15+N15</f>
        <v>1220.4276906</v>
      </c>
      <c r="P15" s="56">
        <v>1019.66</v>
      </c>
      <c r="Q15" s="22">
        <f>Q14-O15</f>
        <v>11037.071302200004</v>
      </c>
      <c r="R15" s="17" t="s">
        <v>35</v>
      </c>
      <c r="S15" s="46"/>
      <c r="U15" t="s">
        <v>58</v>
      </c>
      <c r="W15">
        <v>2500</v>
      </c>
    </row>
    <row r="16" spans="2:23" x14ac:dyDescent="0.2">
      <c r="B16" s="17">
        <v>2024</v>
      </c>
      <c r="C16" s="37"/>
      <c r="D16" s="13"/>
      <c r="E16" s="39"/>
      <c r="F16" s="10"/>
      <c r="G16" s="10"/>
      <c r="H16" s="11">
        <f>'Annual Summary'!I6</f>
        <v>2263.6454376400002</v>
      </c>
      <c r="I16" s="15">
        <f>'Annual Summary'!D6</f>
        <v>585.35</v>
      </c>
      <c r="J16" s="15">
        <f>'Annual Summary'!E6</f>
        <v>9848.7099999999991</v>
      </c>
      <c r="K16" s="60">
        <f t="shared" si="1"/>
        <v>5.6099926586582791E-2</v>
      </c>
      <c r="L16" s="15">
        <f>'Annual Summary'!F6</f>
        <v>1836.6</v>
      </c>
      <c r="M16" s="16">
        <f>'Annual Summary'!G6</f>
        <v>869.83206599999983</v>
      </c>
      <c r="N16" s="63">
        <f>187.8+3.31</f>
        <v>191.11</v>
      </c>
      <c r="O16" s="20">
        <f t="shared" si="2"/>
        <v>1584.9233716400004</v>
      </c>
      <c r="P16" s="56">
        <v>1580.83</v>
      </c>
      <c r="Q16" s="22">
        <f t="shared" ref="Q16:Q21" si="3">Q15-O16</f>
        <v>9452.1479305600042</v>
      </c>
      <c r="R16" s="17" t="s">
        <v>35</v>
      </c>
      <c r="S16" s="46"/>
      <c r="U16" t="s">
        <v>59</v>
      </c>
      <c r="W16">
        <f>204+14.28+3.99+4.99+42.85</f>
        <v>270.11</v>
      </c>
    </row>
    <row r="17" spans="2:21" x14ac:dyDescent="0.2">
      <c r="B17" s="17">
        <v>2025</v>
      </c>
      <c r="C17" s="37"/>
      <c r="D17" s="13"/>
      <c r="E17" s="39"/>
      <c r="F17" s="10"/>
      <c r="G17" s="10"/>
      <c r="H17" s="11">
        <f>'Annual Summary'!I7</f>
        <v>1379.98647714</v>
      </c>
      <c r="I17" s="15">
        <f>'Annual Summary'!D7</f>
        <v>324.96000000000004</v>
      </c>
      <c r="J17" s="15">
        <f>'Annual Summary'!E7</f>
        <v>6474.3099999999995</v>
      </c>
      <c r="K17" s="60">
        <f t="shared" ref="K17" si="4">I17/(J17+I17)</f>
        <v>4.7793366052532121E-2</v>
      </c>
      <c r="L17" s="15">
        <f>'Annual Summary'!F7</f>
        <v>1822.57</v>
      </c>
      <c r="M17" s="16">
        <f>'Annual Summary'!G7</f>
        <v>362.98696200000018</v>
      </c>
      <c r="N17" s="63">
        <f>2.63+0.65+0.74</f>
        <v>4.0199999999999996</v>
      </c>
      <c r="O17" s="20">
        <f>(H17-M17+N17)</f>
        <v>1021.0195151399998</v>
      </c>
      <c r="P17" s="56">
        <v>1659.87</v>
      </c>
      <c r="Q17" s="22">
        <f t="shared" si="3"/>
        <v>8431.1284154200039</v>
      </c>
      <c r="R17" s="17" t="s">
        <v>67</v>
      </c>
      <c r="S17" s="46"/>
      <c r="U17" s="2"/>
    </row>
    <row r="18" spans="2:21" x14ac:dyDescent="0.2">
      <c r="B18" s="17">
        <v>2026</v>
      </c>
      <c r="C18" s="37">
        <v>0.28999999999999998</v>
      </c>
      <c r="D18" s="13">
        <v>8.5000000000000006E-2</v>
      </c>
      <c r="E18" s="39">
        <v>0.15</v>
      </c>
      <c r="F18" s="10">
        <f t="shared" ref="F18:F25" si="5">$C$4*$C$6</f>
        <v>10145.602500000001</v>
      </c>
      <c r="G18" s="10">
        <f t="shared" ref="G18:G23" si="6">$C$4-F18</f>
        <v>3381.8675000000003</v>
      </c>
      <c r="H18" s="11">
        <f t="shared" ref="H18:H23" si="7">(F18*C18)+(G18*D18)</f>
        <v>3229.6834625000001</v>
      </c>
      <c r="I18" s="15">
        <f t="shared" ref="I18:I25" si="8">$C$7*$C$8</f>
        <v>953.15650000000005</v>
      </c>
      <c r="J18" s="15">
        <f t="shared" ref="J18:J23" si="9">$C$7-I18</f>
        <v>8578.4085000000014</v>
      </c>
      <c r="K18" s="60">
        <f t="shared" si="1"/>
        <v>9.9999999999999978E-2</v>
      </c>
      <c r="L18" s="15">
        <f t="shared" ref="L18:L25" si="10">$C$5</f>
        <v>750</v>
      </c>
      <c r="M18" s="16">
        <f t="shared" ref="M18:M23" si="11">(I18*C18)+(J18*D18)-(L18*E18)</f>
        <v>893.08010750000017</v>
      </c>
      <c r="N18" s="63"/>
      <c r="O18" s="20">
        <f t="shared" si="2"/>
        <v>2336.6033550000002</v>
      </c>
      <c r="P18" s="56">
        <v>1742.86</v>
      </c>
      <c r="Q18" s="22">
        <f t="shared" si="3"/>
        <v>6094.5250604200037</v>
      </c>
      <c r="R18" s="17" t="s">
        <v>36</v>
      </c>
      <c r="S18" s="46"/>
    </row>
    <row r="19" spans="2:21" x14ac:dyDescent="0.2">
      <c r="B19" s="17">
        <v>2027</v>
      </c>
      <c r="C19" s="37">
        <f t="shared" ref="C19:C22" si="12">C18*(1+$C$9)</f>
        <v>0.29869999999999997</v>
      </c>
      <c r="D19" s="37">
        <f t="shared" ref="D19:D22" si="13">D18*(1+$C$9)</f>
        <v>8.7550000000000003E-2</v>
      </c>
      <c r="E19" s="39">
        <f t="shared" si="0"/>
        <v>0.1545</v>
      </c>
      <c r="F19" s="10">
        <f t="shared" si="5"/>
        <v>10145.602500000001</v>
      </c>
      <c r="G19" s="10">
        <f t="shared" si="6"/>
        <v>3381.8675000000003</v>
      </c>
      <c r="H19" s="11">
        <f t="shared" si="7"/>
        <v>3326.5739663749996</v>
      </c>
      <c r="I19" s="15">
        <f t="shared" si="8"/>
        <v>953.15650000000005</v>
      </c>
      <c r="J19" s="15">
        <f t="shared" si="9"/>
        <v>8578.4085000000014</v>
      </c>
      <c r="K19" s="60">
        <f t="shared" si="1"/>
        <v>9.9999999999999978E-2</v>
      </c>
      <c r="L19" s="15">
        <f t="shared" si="10"/>
        <v>750</v>
      </c>
      <c r="M19" s="16">
        <f t="shared" si="11"/>
        <v>919.87251072500021</v>
      </c>
      <c r="N19" s="63"/>
      <c r="O19" s="20">
        <f t="shared" si="2"/>
        <v>2406.7014556499994</v>
      </c>
      <c r="P19" s="56">
        <v>1830</v>
      </c>
      <c r="Q19" s="22">
        <f t="shared" si="3"/>
        <v>3687.8236047700043</v>
      </c>
      <c r="R19" s="17" t="s">
        <v>36</v>
      </c>
      <c r="S19" s="46"/>
    </row>
    <row r="20" spans="2:21" x14ac:dyDescent="0.2">
      <c r="B20" s="17">
        <v>2028</v>
      </c>
      <c r="C20" s="37">
        <f t="shared" si="12"/>
        <v>0.30766099999999996</v>
      </c>
      <c r="D20" s="37">
        <f t="shared" si="13"/>
        <v>9.0176500000000007E-2</v>
      </c>
      <c r="E20" s="39">
        <f t="shared" si="0"/>
        <v>0.159135</v>
      </c>
      <c r="F20" s="10">
        <f t="shared" si="5"/>
        <v>10145.602500000001</v>
      </c>
      <c r="G20" s="10">
        <f t="shared" si="6"/>
        <v>3381.8675000000003</v>
      </c>
      <c r="H20" s="11">
        <f t="shared" si="7"/>
        <v>3426.3711853662503</v>
      </c>
      <c r="I20" s="15">
        <f t="shared" si="8"/>
        <v>953.15650000000005</v>
      </c>
      <c r="J20" s="15">
        <f t="shared" si="9"/>
        <v>8578.4085000000014</v>
      </c>
      <c r="K20" s="60">
        <f t="shared" si="1"/>
        <v>9.9999999999999978E-2</v>
      </c>
      <c r="L20" s="15">
        <f t="shared" si="10"/>
        <v>750</v>
      </c>
      <c r="M20" s="16">
        <f t="shared" si="11"/>
        <v>947.46868604675024</v>
      </c>
      <c r="N20" s="63"/>
      <c r="O20" s="20">
        <f t="shared" si="2"/>
        <v>2478.9024993194998</v>
      </c>
      <c r="P20" s="56">
        <v>1921</v>
      </c>
      <c r="Q20" s="22">
        <f t="shared" si="3"/>
        <v>1208.9211054505045</v>
      </c>
      <c r="R20" s="17" t="s">
        <v>36</v>
      </c>
      <c r="S20" s="46"/>
    </row>
    <row r="21" spans="2:21" x14ac:dyDescent="0.2">
      <c r="B21" s="17">
        <v>2029</v>
      </c>
      <c r="C21" s="37">
        <f t="shared" si="12"/>
        <v>0.31689082999999996</v>
      </c>
      <c r="D21" s="37">
        <f t="shared" si="13"/>
        <v>9.2881795000000003E-2</v>
      </c>
      <c r="E21" s="39">
        <f t="shared" si="0"/>
        <v>0.16390905</v>
      </c>
      <c r="F21" s="10">
        <f t="shared" si="5"/>
        <v>10145.602500000001</v>
      </c>
      <c r="G21" s="10">
        <f t="shared" si="6"/>
        <v>3381.8675000000003</v>
      </c>
      <c r="H21" s="11">
        <f t="shared" si="7"/>
        <v>3529.1623209272375</v>
      </c>
      <c r="I21" s="15">
        <f t="shared" si="8"/>
        <v>953.15650000000005</v>
      </c>
      <c r="J21" s="15">
        <f t="shared" si="9"/>
        <v>8578.4085000000014</v>
      </c>
      <c r="K21" s="60">
        <f t="shared" si="1"/>
        <v>9.9999999999999978E-2</v>
      </c>
      <c r="L21" s="15">
        <f t="shared" si="10"/>
        <v>750</v>
      </c>
      <c r="M21" s="16">
        <f t="shared" si="11"/>
        <v>975.89274662815262</v>
      </c>
      <c r="N21" s="63"/>
      <c r="O21" s="20">
        <f t="shared" si="2"/>
        <v>2553.269574299085</v>
      </c>
      <c r="P21" s="56">
        <v>2017.58</v>
      </c>
      <c r="Q21" s="22">
        <f t="shared" si="3"/>
        <v>-1344.3484688485805</v>
      </c>
      <c r="R21" s="17" t="s">
        <v>36</v>
      </c>
      <c r="S21" s="46"/>
    </row>
    <row r="22" spans="2:21" x14ac:dyDescent="0.2">
      <c r="B22" s="17">
        <v>2030</v>
      </c>
      <c r="C22" s="37">
        <f t="shared" si="12"/>
        <v>0.32639755489999994</v>
      </c>
      <c r="D22" s="37">
        <f t="shared" si="13"/>
        <v>9.5668248850000012E-2</v>
      </c>
      <c r="E22" s="39">
        <f t="shared" si="0"/>
        <v>0.16882632150000002</v>
      </c>
      <c r="F22" s="10">
        <f t="shared" si="5"/>
        <v>10145.602500000001</v>
      </c>
      <c r="G22" s="10">
        <f t="shared" si="6"/>
        <v>3381.8675000000003</v>
      </c>
      <c r="H22" s="11">
        <f t="shared" si="7"/>
        <v>3635.0371905550542</v>
      </c>
      <c r="I22" s="15">
        <f t="shared" si="8"/>
        <v>953.15650000000005</v>
      </c>
      <c r="J22" s="15">
        <f t="shared" si="9"/>
        <v>8578.4085000000014</v>
      </c>
      <c r="K22" s="60">
        <f t="shared" si="1"/>
        <v>9.9999999999999978E-2</v>
      </c>
      <c r="L22" s="15">
        <f t="shared" si="10"/>
        <v>750</v>
      </c>
      <c r="M22" s="16">
        <f t="shared" si="11"/>
        <v>1005.1695290269972</v>
      </c>
      <c r="N22" s="63"/>
      <c r="O22" s="20">
        <f t="shared" si="2"/>
        <v>2629.8676615280569</v>
      </c>
      <c r="P22" s="64">
        <v>2118.46</v>
      </c>
      <c r="Q22" s="22">
        <f t="shared" ref="Q22" si="14">Q21-O22</f>
        <v>-3974.2161303766375</v>
      </c>
      <c r="R22" s="17" t="s">
        <v>36</v>
      </c>
      <c r="S22" s="46"/>
    </row>
    <row r="23" spans="2:21" x14ac:dyDescent="0.2">
      <c r="B23" s="17">
        <v>2031</v>
      </c>
      <c r="C23" s="37">
        <f t="shared" ref="C23:C25" si="15">C22*(1+$C$9)</f>
        <v>0.33618948154699996</v>
      </c>
      <c r="D23" s="37">
        <f t="shared" ref="D23:D25" si="16">D22*(1+$C$9)</f>
        <v>9.8538296315500012E-2</v>
      </c>
      <c r="E23" s="39">
        <f t="shared" si="0"/>
        <v>0.17389111114500003</v>
      </c>
      <c r="F23" s="10">
        <f t="shared" si="5"/>
        <v>10145.602500000001</v>
      </c>
      <c r="G23" s="10">
        <f t="shared" si="6"/>
        <v>3381.8675000000003</v>
      </c>
      <c r="H23" s="11">
        <f t="shared" si="7"/>
        <v>3744.0883062717066</v>
      </c>
      <c r="I23" s="15">
        <f t="shared" si="8"/>
        <v>953.15650000000005</v>
      </c>
      <c r="J23" s="15">
        <f t="shared" si="9"/>
        <v>8578.4085000000014</v>
      </c>
      <c r="K23" s="60">
        <f t="shared" si="1"/>
        <v>9.9999999999999978E-2</v>
      </c>
      <c r="L23" s="15">
        <f t="shared" si="10"/>
        <v>750</v>
      </c>
      <c r="M23" s="16">
        <f t="shared" si="11"/>
        <v>1035.3246148978071</v>
      </c>
      <c r="N23" s="63"/>
      <c r="O23" s="20">
        <f t="shared" si="2"/>
        <v>2708.7636913738997</v>
      </c>
      <c r="P23" s="56">
        <v>2224.38</v>
      </c>
      <c r="Q23" s="22">
        <f t="shared" ref="Q23" si="17">Q22-O23</f>
        <v>-6682.9798217505377</v>
      </c>
      <c r="R23" s="17" t="s">
        <v>36</v>
      </c>
      <c r="S23" s="46"/>
    </row>
    <row r="24" spans="2:21" x14ac:dyDescent="0.2">
      <c r="B24" s="17">
        <v>2032</v>
      </c>
      <c r="C24" s="37">
        <f t="shared" si="15"/>
        <v>0.34627516599340996</v>
      </c>
      <c r="D24" s="37">
        <f t="shared" si="16"/>
        <v>0.10149444520496502</v>
      </c>
      <c r="E24" s="39">
        <f t="shared" si="0"/>
        <v>0.17910784447935002</v>
      </c>
      <c r="F24" s="10">
        <f t="shared" si="5"/>
        <v>10145.602500000001</v>
      </c>
      <c r="G24" s="10">
        <f t="shared" ref="G24" si="18">$C$4-F24</f>
        <v>3381.8675000000003</v>
      </c>
      <c r="H24" s="11">
        <f t="shared" ref="H24" si="19">(F24*C24)+(G24*D24)</f>
        <v>3856.4109554598576</v>
      </c>
      <c r="I24" s="15">
        <f t="shared" si="8"/>
        <v>953.15650000000005</v>
      </c>
      <c r="J24" s="15">
        <f t="shared" ref="J24" si="20">$C$7-I24</f>
        <v>8578.4085000000014</v>
      </c>
      <c r="K24" s="60">
        <f t="shared" ref="K24" si="21">I24/(J24+I24)</f>
        <v>9.9999999999999978E-2</v>
      </c>
      <c r="L24" s="15">
        <f t="shared" si="10"/>
        <v>750</v>
      </c>
      <c r="M24" s="16">
        <f t="shared" ref="M24" si="22">(I24*C24)+(J24*D24)-(L24*E24)</f>
        <v>1066.3843533447416</v>
      </c>
      <c r="N24" s="63"/>
      <c r="O24" s="20">
        <f t="shared" si="2"/>
        <v>2790.026602115116</v>
      </c>
      <c r="P24" s="56">
        <v>2224.38</v>
      </c>
      <c r="Q24" s="22">
        <f t="shared" ref="Q24" si="23">Q23-O24</f>
        <v>-9473.0064238656541</v>
      </c>
      <c r="R24" s="17" t="s">
        <v>36</v>
      </c>
      <c r="S24" s="46"/>
    </row>
    <row r="25" spans="2:21" x14ac:dyDescent="0.2">
      <c r="B25" s="17">
        <v>2033</v>
      </c>
      <c r="C25" s="37">
        <f t="shared" si="15"/>
        <v>0.35666342097321224</v>
      </c>
      <c r="D25" s="37">
        <f t="shared" si="16"/>
        <v>0.10453927856111397</v>
      </c>
      <c r="E25" s="39">
        <f t="shared" si="0"/>
        <v>0.18448107981373052</v>
      </c>
      <c r="F25" s="10">
        <f t="shared" si="5"/>
        <v>10145.602500000001</v>
      </c>
      <c r="G25" s="10">
        <f t="shared" ref="G25" si="24">$C$4-F25</f>
        <v>3381.8675000000003</v>
      </c>
      <c r="H25" s="11">
        <f t="shared" ref="H25" si="25">(F25*C25)+(G25*D25)</f>
        <v>3972.1032841236529</v>
      </c>
      <c r="I25" s="15">
        <f t="shared" si="8"/>
        <v>953.15650000000005</v>
      </c>
      <c r="J25" s="15">
        <f t="shared" ref="J25" si="26">$C$7-I25</f>
        <v>8578.4085000000014</v>
      </c>
      <c r="K25" s="60">
        <f t="shared" ref="K25" si="27">I25/(J25+I25)</f>
        <v>9.9999999999999978E-2</v>
      </c>
      <c r="L25" s="15">
        <f t="shared" si="10"/>
        <v>750</v>
      </c>
      <c r="M25" s="16">
        <f t="shared" ref="M25" si="28">(I25*C25)+(J25*D25)-(L25*E25)</f>
        <v>1098.3758839450838</v>
      </c>
      <c r="N25" s="63"/>
      <c r="O25" s="20">
        <f t="shared" si="2"/>
        <v>2873.727400178569</v>
      </c>
      <c r="P25" s="56">
        <v>2224.38</v>
      </c>
      <c r="Q25" s="22">
        <f t="shared" ref="Q25" si="29">Q24-O25</f>
        <v>-12346.733824044222</v>
      </c>
      <c r="R25" s="17" t="s">
        <v>36</v>
      </c>
      <c r="S25" s="46"/>
    </row>
  </sheetData>
  <mergeCells count="3">
    <mergeCell ref="F12:H12"/>
    <mergeCell ref="I12:M12"/>
    <mergeCell ref="C12:E1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353B-E8E4-7F42-9FF4-75F04CD4BA6E}">
  <dimension ref="B1:H11"/>
  <sheetViews>
    <sheetView workbookViewId="0">
      <selection activeCell="E7" sqref="E7"/>
    </sheetView>
  </sheetViews>
  <sheetFormatPr baseColWidth="10" defaultRowHeight="16" x14ac:dyDescent="0.2"/>
  <cols>
    <col min="2" max="2" width="25" bestFit="1" customWidth="1"/>
  </cols>
  <sheetData>
    <row r="1" spans="2:8" x14ac:dyDescent="0.2">
      <c r="B1" s="2" t="s">
        <v>23</v>
      </c>
      <c r="E1" s="2" t="s">
        <v>63</v>
      </c>
      <c r="G1">
        <v>2500</v>
      </c>
      <c r="H1" t="s">
        <v>64</v>
      </c>
    </row>
    <row r="2" spans="2:8" x14ac:dyDescent="0.2">
      <c r="B2" t="s">
        <v>22</v>
      </c>
      <c r="C2">
        <f>(Monthly!J4*Monthly!K4)+(Monthly!J5*Monthly!K5)+(Monthly!J6*Monthly!K6)+(Monthly!J7*Monthly!K7)+(Monthly!J8*Monthly!K8)+(Monthly!J9*Monthly!K9)+(Monthly!J10*Monthly!K10)+(Monthly!J11*Monthly!K11)+(Monthly!J12*Monthly!K12)+(Monthly!J13*Monthly!K13)+(Monthly!J14*Monthly!K14)+(Monthly!J15*Monthly!K15)</f>
        <v>2918.158391317012</v>
      </c>
      <c r="D2" t="s">
        <v>6</v>
      </c>
      <c r="E2">
        <f>C2</f>
        <v>2918.158391317012</v>
      </c>
    </row>
    <row r="3" spans="2:8" x14ac:dyDescent="0.2">
      <c r="B3" t="s">
        <v>27</v>
      </c>
      <c r="C3">
        <f>SUM(Monthly!J4:J15)-C2</f>
        <v>8109.3116086829887</v>
      </c>
      <c r="D3" t="s">
        <v>6</v>
      </c>
      <c r="E3">
        <f>C3</f>
        <v>8109.3116086829887</v>
      </c>
    </row>
    <row r="4" spans="2:8" x14ac:dyDescent="0.2">
      <c r="B4" t="s">
        <v>28</v>
      </c>
      <c r="C4">
        <f>C2+C3</f>
        <v>11027.470000000001</v>
      </c>
      <c r="D4" t="s">
        <v>6</v>
      </c>
      <c r="E4">
        <f>E2+E3+G1</f>
        <v>13527.470000000001</v>
      </c>
    </row>
    <row r="6" spans="2:8" x14ac:dyDescent="0.2">
      <c r="B6" t="s">
        <v>24</v>
      </c>
      <c r="C6">
        <f>(Monthly!H4*Monthly!K4)+(Monthly!H5*Monthly!K5)+(Monthly!H6*Monthly!K6)+(Monthly!H7*Monthly!K7)+(Monthly!H8*Monthly!K8)+(Monthly!H9*Monthly!K9)+(Monthly!H10*Monthly!K10)+(Monthly!H11*Monthly!K11)+(Monthly!H12*Monthly!K12)+(Monthly!H13*Monthly!K13)+(Monthly!H14*Monthly!K14)+(Monthly!H15*Monthly!K15)</f>
        <v>2311.9299999999998</v>
      </c>
      <c r="D6" t="s">
        <v>6</v>
      </c>
      <c r="E6">
        <f>(C6+G1)*0.5</f>
        <v>2405.9650000000001</v>
      </c>
    </row>
    <row r="7" spans="2:8" x14ac:dyDescent="0.2">
      <c r="B7" t="s">
        <v>26</v>
      </c>
      <c r="C7">
        <f>SUM(Monthly!H4:H15)-C6</f>
        <v>5875.6</v>
      </c>
      <c r="D7" t="s">
        <v>6</v>
      </c>
      <c r="E7">
        <f>C7+G1*0.5</f>
        <v>7125.6</v>
      </c>
    </row>
    <row r="8" spans="2:8" x14ac:dyDescent="0.2">
      <c r="B8" t="s">
        <v>25</v>
      </c>
      <c r="C8" s="7">
        <f>(C6/SUM(C6:C7))</f>
        <v>0.2823720951251476</v>
      </c>
      <c r="E8" s="7">
        <f>(E6/SUM(E6:E7))</f>
        <v>0.25242077245447103</v>
      </c>
    </row>
    <row r="9" spans="2:8" x14ac:dyDescent="0.2">
      <c r="C9" s="8"/>
    </row>
    <row r="10" spans="2:8" x14ac:dyDescent="0.2">
      <c r="C10" s="8"/>
    </row>
    <row r="11" spans="2:8" x14ac:dyDescent="0.2">
      <c r="C11" s="8"/>
    </row>
  </sheetData>
  <pageMargins left="0.7" right="0.7" top="0.75" bottom="0.75" header="0.3" footer="0.3"/>
  <ignoredErrors>
    <ignoredError sqref="C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A27D-98E5-8C48-AD3D-CFFBECCC5021}">
  <dimension ref="A1:K12"/>
  <sheetViews>
    <sheetView workbookViewId="0">
      <selection activeCell="A7" sqref="A7"/>
    </sheetView>
  </sheetViews>
  <sheetFormatPr baseColWidth="10" defaultRowHeight="16" x14ac:dyDescent="0.2"/>
  <cols>
    <col min="2" max="2" width="10.83203125" style="3"/>
    <col min="3" max="3" width="11.5" style="3" bestFit="1" customWidth="1"/>
    <col min="4" max="4" width="14.1640625" bestFit="1" customWidth="1"/>
    <col min="5" max="5" width="17.6640625" bestFit="1" customWidth="1"/>
    <col min="7" max="7" width="13.5" bestFit="1" customWidth="1"/>
    <col min="8" max="8" width="11.5" bestFit="1" customWidth="1"/>
    <col min="9" max="9" width="16.6640625" bestFit="1" customWidth="1"/>
    <col min="10" max="10" width="21.5" bestFit="1" customWidth="1"/>
  </cols>
  <sheetData>
    <row r="1" spans="1:11" x14ac:dyDescent="0.2">
      <c r="A1" t="s">
        <v>14</v>
      </c>
      <c r="C1" s="3">
        <f>Forecast!C3</f>
        <v>12825.710000000003</v>
      </c>
    </row>
    <row r="3" spans="1:11" x14ac:dyDescent="0.2">
      <c r="A3" s="2" t="s">
        <v>12</v>
      </c>
      <c r="B3" s="6" t="s">
        <v>13</v>
      </c>
      <c r="C3" s="6" t="s">
        <v>15</v>
      </c>
      <c r="D3" s="2" t="s">
        <v>50</v>
      </c>
      <c r="E3" s="2" t="s">
        <v>51</v>
      </c>
      <c r="F3" s="2" t="s">
        <v>40</v>
      </c>
      <c r="G3" s="2" t="s">
        <v>55</v>
      </c>
      <c r="H3" s="2" t="s">
        <v>53</v>
      </c>
      <c r="I3" s="2" t="s">
        <v>54</v>
      </c>
      <c r="J3" s="2" t="s">
        <v>34</v>
      </c>
    </row>
    <row r="4" spans="1:11" x14ac:dyDescent="0.2">
      <c r="A4">
        <v>2022</v>
      </c>
      <c r="B4" s="3">
        <f>SUM(Monthly!S3:S16)</f>
        <v>568.21100719999993</v>
      </c>
      <c r="C4" s="3">
        <f>C1-B4</f>
        <v>12257.498992800003</v>
      </c>
      <c r="D4">
        <f>SUM(Monthly!B4:B16)</f>
        <v>2531.9699999999998</v>
      </c>
      <c r="E4">
        <f>SUM(Monthly!E4:E16)</f>
        <v>6693.5700000000006</v>
      </c>
      <c r="F4">
        <f>SUM(Monthly!P4:P16)</f>
        <v>1216.1999999999998</v>
      </c>
      <c r="G4" s="46">
        <f>SUM(Monthly!O3:O16)-SUM(Monthly!R3:R16)</f>
        <v>732.01890000000014</v>
      </c>
      <c r="H4">
        <f>SUM(Monthly!J4:J16)</f>
        <v>12166.740000000002</v>
      </c>
      <c r="I4" s="46">
        <f>SUM(Monthly!N3:N16)</f>
        <v>1300.2299072000001</v>
      </c>
      <c r="J4" t="s">
        <v>52</v>
      </c>
      <c r="K4" s="46">
        <f>I4-G4</f>
        <v>568.21100719999993</v>
      </c>
    </row>
    <row r="5" spans="1:11" x14ac:dyDescent="0.2">
      <c r="A5">
        <v>2023</v>
      </c>
      <c r="B5" s="3">
        <f>SUM(Monthly!S17:S28)</f>
        <v>1220.4276906</v>
      </c>
      <c r="C5" s="3">
        <f>C4-B5</f>
        <v>11037.071302200004</v>
      </c>
      <c r="D5">
        <f>SUM(Monthly!B17:B28)</f>
        <v>852.42000000000007</v>
      </c>
      <c r="E5">
        <f>SUM(Monthly!E17:E28)</f>
        <v>7911.5800000000008</v>
      </c>
      <c r="F5">
        <f>SUM(Monthly!P17:P28)</f>
        <v>808.43</v>
      </c>
      <c r="G5" s="46">
        <f>SUM(Monthly!O17:O28)-SUM(Monthly!R17:R28)</f>
        <v>711.39752399999986</v>
      </c>
      <c r="H5">
        <f>SUM(Monthly!J17:J28)</f>
        <v>11741.39</v>
      </c>
      <c r="I5" s="46">
        <f>SUM(Monthly!N17:N28)</f>
        <v>1931.8252146</v>
      </c>
      <c r="K5" s="46">
        <f>I5-G5</f>
        <v>1220.4276906</v>
      </c>
    </row>
    <row r="6" spans="1:11" x14ac:dyDescent="0.2">
      <c r="A6">
        <v>2024</v>
      </c>
      <c r="B6" s="3">
        <f>SUM(Monthly!S29:S40)</f>
        <v>1393.8133716400002</v>
      </c>
      <c r="C6" s="3">
        <f t="shared" ref="C6:C12" si="0">C5-B6</f>
        <v>9643.2579305600029</v>
      </c>
      <c r="D6">
        <f>SUM(Monthly!B29:B40)</f>
        <v>585.35</v>
      </c>
      <c r="E6">
        <f>SUM(Monthly!E29:E40)</f>
        <v>9848.7099999999991</v>
      </c>
      <c r="F6">
        <f>SUM(Monthly!P29:P40)</f>
        <v>1836.6</v>
      </c>
      <c r="G6" s="46">
        <f>SUM(Monthly!O29:O40)-SUM(Monthly!R29:R40)</f>
        <v>869.83206599999983</v>
      </c>
      <c r="H6">
        <f>SUM(Monthly!J29:J40)</f>
        <v>12180.109999999999</v>
      </c>
      <c r="I6" s="46">
        <f>SUM(Monthly!N29:N40)</f>
        <v>2263.6454376400002</v>
      </c>
      <c r="K6" s="46">
        <f>I6-G6</f>
        <v>1393.8133716400002</v>
      </c>
    </row>
    <row r="7" spans="1:11" x14ac:dyDescent="0.2">
      <c r="A7">
        <v>2025</v>
      </c>
      <c r="B7" s="3">
        <f>SUM(Monthly!S41:S52)</f>
        <v>1016.9995151400001</v>
      </c>
      <c r="C7" s="3">
        <f t="shared" si="0"/>
        <v>8626.2584154200031</v>
      </c>
      <c r="D7">
        <f>SUM(Monthly!B41:B52)</f>
        <v>324.96000000000004</v>
      </c>
      <c r="E7">
        <f>SUM(Monthly!E41:E52)</f>
        <v>6474.3099999999995</v>
      </c>
      <c r="F7">
        <f>SUM(Monthly!P41:P52)</f>
        <v>1822.57</v>
      </c>
      <c r="G7" s="46">
        <f>SUM(Monthly!O41:O52)-SUM(Monthly!R41:R52)</f>
        <v>362.98696200000018</v>
      </c>
      <c r="H7">
        <f>SUM(Monthly!J41:J52)</f>
        <v>7360.23</v>
      </c>
      <c r="I7" s="46">
        <f>SUM(Monthly!N41:N52)</f>
        <v>1379.98647714</v>
      </c>
      <c r="K7" s="46">
        <f>I7-G7</f>
        <v>1016.9995151399999</v>
      </c>
    </row>
    <row r="8" spans="1:11" x14ac:dyDescent="0.2">
      <c r="A8">
        <v>2026</v>
      </c>
      <c r="C8" s="3">
        <f t="shared" si="0"/>
        <v>8626.2584154200031</v>
      </c>
    </row>
    <row r="9" spans="1:11" x14ac:dyDescent="0.2">
      <c r="A9">
        <v>2027</v>
      </c>
      <c r="C9" s="3">
        <f t="shared" si="0"/>
        <v>8626.2584154200031</v>
      </c>
    </row>
    <row r="10" spans="1:11" x14ac:dyDescent="0.2">
      <c r="A10">
        <v>2028</v>
      </c>
      <c r="C10" s="3">
        <f t="shared" si="0"/>
        <v>8626.2584154200031</v>
      </c>
    </row>
    <row r="11" spans="1:11" x14ac:dyDescent="0.2">
      <c r="A11">
        <v>2029</v>
      </c>
      <c r="C11" s="3">
        <f t="shared" si="0"/>
        <v>8626.2584154200031</v>
      </c>
    </row>
    <row r="12" spans="1:11" x14ac:dyDescent="0.2">
      <c r="A12">
        <v>2030</v>
      </c>
      <c r="C12" s="3">
        <f t="shared" si="0"/>
        <v>8626.2584154200031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EB4F1-35F9-B24F-834C-5D41575F3643}">
  <dimension ref="A1:T88"/>
  <sheetViews>
    <sheetView zoomScaleNormal="100" workbookViewId="0">
      <pane ySplit="2" topLeftCell="A3" activePane="bottomLeft" state="frozen"/>
      <selection pane="bottomLeft" activeCell="AD59" sqref="AD59"/>
    </sheetView>
  </sheetViews>
  <sheetFormatPr baseColWidth="10" defaultRowHeight="16" x14ac:dyDescent="0.2"/>
  <cols>
    <col min="2" max="3" width="10.83203125" style="43"/>
    <col min="4" max="4" width="10.83203125" style="3"/>
    <col min="5" max="6" width="10.83203125" style="43"/>
    <col min="7" max="7" width="10.83203125" style="3"/>
    <col min="8" max="8" width="15" bestFit="1" customWidth="1"/>
    <col min="9" max="9" width="15" style="43" customWidth="1"/>
    <col min="10" max="10" width="13.83203125" bestFit="1" customWidth="1"/>
    <col min="11" max="11" width="14.83203125" style="67" bestFit="1" customWidth="1"/>
    <col min="12" max="12" width="12.6640625" style="41" bestFit="1" customWidth="1"/>
    <col min="13" max="13" width="15.6640625" style="41" bestFit="1" customWidth="1"/>
    <col min="14" max="14" width="17.83203125" style="5" customWidth="1"/>
    <col min="15" max="15" width="10.83203125" style="3"/>
    <col min="16" max="17" width="10.83203125" style="45"/>
    <col min="18" max="18" width="10.83203125" style="19"/>
  </cols>
  <sheetData>
    <row r="1" spans="1:19" x14ac:dyDescent="0.2">
      <c r="A1" s="2" t="s">
        <v>0</v>
      </c>
      <c r="B1" s="72" t="s">
        <v>1</v>
      </c>
      <c r="C1" s="72"/>
      <c r="D1" s="72"/>
      <c r="E1" s="72" t="s">
        <v>2</v>
      </c>
      <c r="F1" s="72"/>
      <c r="G1" s="72"/>
      <c r="H1" s="2" t="s">
        <v>4</v>
      </c>
      <c r="I1" s="42" t="s">
        <v>66</v>
      </c>
      <c r="J1" s="2" t="s">
        <v>3</v>
      </c>
      <c r="K1" s="66" t="s">
        <v>5</v>
      </c>
      <c r="L1" s="40" t="s">
        <v>48</v>
      </c>
      <c r="M1" s="40" t="s">
        <v>49</v>
      </c>
      <c r="N1" s="4" t="s">
        <v>8</v>
      </c>
      <c r="O1" s="6" t="s">
        <v>11</v>
      </c>
      <c r="P1" s="73" t="s">
        <v>40</v>
      </c>
      <c r="Q1" s="73"/>
      <c r="R1" s="73"/>
      <c r="S1" s="2" t="s">
        <v>10</v>
      </c>
    </row>
    <row r="2" spans="1:19" x14ac:dyDescent="0.2">
      <c r="A2" s="2"/>
      <c r="B2" s="42" t="s">
        <v>6</v>
      </c>
      <c r="C2" s="42" t="s">
        <v>7</v>
      </c>
      <c r="D2" s="6" t="s">
        <v>9</v>
      </c>
      <c r="E2" s="42" t="s">
        <v>6</v>
      </c>
      <c r="F2" s="42" t="s">
        <v>7</v>
      </c>
      <c r="G2" s="6" t="s">
        <v>9</v>
      </c>
      <c r="H2" s="2"/>
      <c r="I2" s="42"/>
      <c r="J2" s="2"/>
      <c r="P2" s="44" t="s">
        <v>6</v>
      </c>
      <c r="Q2" s="44" t="s">
        <v>7</v>
      </c>
      <c r="R2" s="38" t="s">
        <v>9</v>
      </c>
    </row>
    <row r="3" spans="1:19" x14ac:dyDescent="0.2">
      <c r="A3" s="1">
        <v>44501</v>
      </c>
      <c r="B3" s="43">
        <v>476.08</v>
      </c>
      <c r="C3" s="43">
        <v>0.14199999999999999</v>
      </c>
      <c r="D3" s="3">
        <f>B3*C3</f>
        <v>67.603359999999995</v>
      </c>
      <c r="E3" s="43">
        <v>401.23</v>
      </c>
      <c r="F3" s="43">
        <v>0.05</v>
      </c>
      <c r="G3" s="3">
        <f>E3*F3</f>
        <v>20.061500000000002</v>
      </c>
      <c r="H3">
        <f>B3+E3</f>
        <v>877.31</v>
      </c>
      <c r="J3">
        <v>877.3</v>
      </c>
      <c r="K3" s="67">
        <f t="shared" ref="K3:K34" si="0">B3/H3</f>
        <v>0.54265880931483745</v>
      </c>
      <c r="L3" s="41">
        <f>J3*K3</f>
        <v>476.0745734119069</v>
      </c>
      <c r="M3" s="41">
        <f>J3-L3</f>
        <v>401.22542658809306</v>
      </c>
      <c r="N3" s="5">
        <f t="shared" ref="N3:N34" si="1">((J3*0.54)*C3) + ((J3*0.46)*F3)</f>
        <v>87.449263999999999</v>
      </c>
      <c r="O3" s="3">
        <f t="shared" ref="O3:O34" si="2">D3+G3</f>
        <v>87.664860000000004</v>
      </c>
      <c r="P3" s="45">
        <v>0</v>
      </c>
      <c r="Q3" s="45">
        <v>4.1000000000000002E-2</v>
      </c>
      <c r="R3" s="3">
        <f>Q3*P3</f>
        <v>0</v>
      </c>
      <c r="S3" s="5">
        <f>N3-O3+R3</f>
        <v>-0.21559600000000501</v>
      </c>
    </row>
    <row r="4" spans="1:19" x14ac:dyDescent="0.2">
      <c r="A4" s="1">
        <v>44531</v>
      </c>
      <c r="B4" s="43">
        <v>466.12</v>
      </c>
      <c r="C4" s="43">
        <v>0.14199999999999999</v>
      </c>
      <c r="D4" s="3">
        <f t="shared" ref="D4:D16" si="3">B4*C4</f>
        <v>66.189039999999991</v>
      </c>
      <c r="E4" s="43">
        <v>410.23</v>
      </c>
      <c r="F4" s="43">
        <v>0.05</v>
      </c>
      <c r="G4" s="3">
        <f t="shared" ref="G4:G67" si="4">E4*F4</f>
        <v>20.511500000000002</v>
      </c>
      <c r="H4">
        <f t="shared" ref="H4:H67" si="5">B4+E4</f>
        <v>876.35</v>
      </c>
      <c r="I4" s="43">
        <v>29.7</v>
      </c>
      <c r="J4">
        <f t="shared" ref="J4:J35" si="6">(B4+E4+I4)-P4</f>
        <v>904.55000000000007</v>
      </c>
      <c r="K4" s="67">
        <f t="shared" si="0"/>
        <v>0.53188794431448616</v>
      </c>
      <c r="L4" s="41">
        <f t="shared" ref="L4:L16" si="7">J4*K4</f>
        <v>481.1192400296685</v>
      </c>
      <c r="M4" s="41">
        <f t="shared" ref="M4:M16" si="8">J4-L4</f>
        <v>423.43075997033156</v>
      </c>
      <c r="N4" s="5">
        <f t="shared" si="1"/>
        <v>90.165544000000011</v>
      </c>
      <c r="O4" s="3">
        <f t="shared" si="2"/>
        <v>86.70053999999999</v>
      </c>
      <c r="P4" s="45">
        <v>1.5</v>
      </c>
      <c r="Q4" s="45">
        <v>4.1000000000000002E-2</v>
      </c>
      <c r="R4" s="3">
        <f t="shared" ref="R4:R16" si="9">Q4*P4</f>
        <v>6.1499999999999999E-2</v>
      </c>
      <c r="S4" s="5">
        <f t="shared" ref="S4:S16" si="10">N4-O4+R4</f>
        <v>3.5265040000000218</v>
      </c>
    </row>
    <row r="5" spans="1:19" x14ac:dyDescent="0.2">
      <c r="A5" s="1">
        <v>44562</v>
      </c>
      <c r="B5" s="43">
        <v>436.91</v>
      </c>
      <c r="C5" s="43">
        <v>0.14199999999999999</v>
      </c>
      <c r="D5" s="3">
        <f t="shared" si="3"/>
        <v>62.041219999999996</v>
      </c>
      <c r="E5" s="43">
        <v>420.75</v>
      </c>
      <c r="F5" s="43">
        <v>0.05</v>
      </c>
      <c r="G5" s="3">
        <f t="shared" si="4"/>
        <v>21.037500000000001</v>
      </c>
      <c r="H5">
        <f t="shared" si="5"/>
        <v>857.66000000000008</v>
      </c>
      <c r="I5" s="43">
        <v>117.87</v>
      </c>
      <c r="J5">
        <f t="shared" si="6"/>
        <v>946.73000000000013</v>
      </c>
      <c r="K5" s="67">
        <f t="shared" si="0"/>
        <v>0.50942098267378677</v>
      </c>
      <c r="L5" s="41">
        <f t="shared" si="7"/>
        <v>482.2841269267542</v>
      </c>
      <c r="M5" s="41">
        <f t="shared" si="8"/>
        <v>464.44587307324593</v>
      </c>
      <c r="N5" s="5">
        <f t="shared" si="1"/>
        <v>94.370046400000021</v>
      </c>
      <c r="O5" s="3">
        <f t="shared" si="2"/>
        <v>83.078720000000004</v>
      </c>
      <c r="P5" s="45">
        <v>28.8</v>
      </c>
      <c r="Q5" s="45">
        <v>4.1000000000000002E-2</v>
      </c>
      <c r="R5" s="3">
        <f t="shared" si="9"/>
        <v>1.1808000000000001</v>
      </c>
      <c r="S5" s="5">
        <f t="shared" si="10"/>
        <v>12.472126400000016</v>
      </c>
    </row>
    <row r="6" spans="1:19" x14ac:dyDescent="0.2">
      <c r="A6" s="1">
        <v>44593</v>
      </c>
      <c r="B6" s="43">
        <v>348.64</v>
      </c>
      <c r="C6" s="43">
        <v>0.14199999999999999</v>
      </c>
      <c r="D6" s="3">
        <f t="shared" si="3"/>
        <v>49.506879999999995</v>
      </c>
      <c r="E6" s="43">
        <v>423.48</v>
      </c>
      <c r="F6" s="43">
        <v>0.05</v>
      </c>
      <c r="G6" s="3">
        <f t="shared" si="4"/>
        <v>21.174000000000003</v>
      </c>
      <c r="H6">
        <f t="shared" si="5"/>
        <v>772.12</v>
      </c>
      <c r="I6" s="43">
        <v>163.85</v>
      </c>
      <c r="J6">
        <f t="shared" si="6"/>
        <v>878.77</v>
      </c>
      <c r="K6" s="67">
        <f t="shared" si="0"/>
        <v>0.45153603066880793</v>
      </c>
      <c r="L6" s="41">
        <f t="shared" si="7"/>
        <v>396.79631767082833</v>
      </c>
      <c r="M6" s="41">
        <f t="shared" si="8"/>
        <v>481.97368232917165</v>
      </c>
      <c r="N6" s="5">
        <f t="shared" si="1"/>
        <v>87.595793599999993</v>
      </c>
      <c r="O6" s="3">
        <f t="shared" si="2"/>
        <v>70.680880000000002</v>
      </c>
      <c r="P6" s="45">
        <v>57.2</v>
      </c>
      <c r="Q6" s="45">
        <v>4.1000000000000002E-2</v>
      </c>
      <c r="R6" s="3">
        <f t="shared" si="9"/>
        <v>2.3452000000000002</v>
      </c>
      <c r="S6" s="5">
        <f t="shared" si="10"/>
        <v>19.26011359999999</v>
      </c>
    </row>
    <row r="7" spans="1:19" x14ac:dyDescent="0.2">
      <c r="A7" s="1">
        <v>44621</v>
      </c>
      <c r="B7" s="43">
        <v>257.95999999999998</v>
      </c>
      <c r="C7" s="43">
        <v>0.14199999999999999</v>
      </c>
      <c r="D7" s="3">
        <f t="shared" si="3"/>
        <v>36.63031999999999</v>
      </c>
      <c r="E7" s="43">
        <v>366.51</v>
      </c>
      <c r="F7" s="43">
        <v>0.05</v>
      </c>
      <c r="G7" s="3">
        <f t="shared" si="4"/>
        <v>18.325500000000002</v>
      </c>
      <c r="H7">
        <f t="shared" si="5"/>
        <v>624.47</v>
      </c>
      <c r="I7" s="43">
        <v>402.78</v>
      </c>
      <c r="J7">
        <f t="shared" si="6"/>
        <v>867.95</v>
      </c>
      <c r="K7" s="67">
        <f t="shared" si="0"/>
        <v>0.41308629718000861</v>
      </c>
      <c r="L7" s="41">
        <f t="shared" si="7"/>
        <v>358.5382516373885</v>
      </c>
      <c r="M7" s="41">
        <f t="shared" si="8"/>
        <v>509.41174836261155</v>
      </c>
      <c r="N7" s="5">
        <f t="shared" si="1"/>
        <v>86.517256000000003</v>
      </c>
      <c r="O7" s="3">
        <f t="shared" si="2"/>
        <v>54.955819999999989</v>
      </c>
      <c r="P7" s="45">
        <v>159.30000000000001</v>
      </c>
      <c r="Q7" s="45">
        <v>4.1000000000000002E-2</v>
      </c>
      <c r="R7" s="3">
        <f t="shared" si="9"/>
        <v>6.5313000000000008</v>
      </c>
      <c r="S7" s="5">
        <f t="shared" si="10"/>
        <v>38.092736000000016</v>
      </c>
    </row>
    <row r="8" spans="1:19" x14ac:dyDescent="0.2">
      <c r="A8" s="1">
        <v>44652</v>
      </c>
      <c r="B8" s="43">
        <v>194.06</v>
      </c>
      <c r="C8" s="43">
        <v>0.14199999999999999</v>
      </c>
      <c r="D8" s="3">
        <f t="shared" si="3"/>
        <v>27.556519999999999</v>
      </c>
      <c r="E8" s="43">
        <v>318.18</v>
      </c>
      <c r="F8" s="43">
        <v>0.05</v>
      </c>
      <c r="G8" s="3">
        <f t="shared" si="4"/>
        <v>15.909000000000001</v>
      </c>
      <c r="H8">
        <f t="shared" si="5"/>
        <v>512.24</v>
      </c>
      <c r="I8" s="43">
        <v>505.34</v>
      </c>
      <c r="J8">
        <f t="shared" si="6"/>
        <v>829.87999999999988</v>
      </c>
      <c r="K8" s="67">
        <f t="shared" si="0"/>
        <v>0.37884585350616901</v>
      </c>
      <c r="L8" s="41">
        <f t="shared" si="7"/>
        <v>314.39659690769952</v>
      </c>
      <c r="M8" s="41">
        <f t="shared" si="8"/>
        <v>515.48340309230036</v>
      </c>
      <c r="N8" s="5">
        <f t="shared" si="1"/>
        <v>82.722438399999987</v>
      </c>
      <c r="O8" s="3">
        <f t="shared" si="2"/>
        <v>43.465519999999998</v>
      </c>
      <c r="P8" s="45">
        <v>187.7</v>
      </c>
      <c r="Q8" s="45">
        <v>4.1000000000000002E-2</v>
      </c>
      <c r="R8" s="3">
        <f t="shared" si="9"/>
        <v>7.6956999999999995</v>
      </c>
      <c r="S8" s="5">
        <f t="shared" si="10"/>
        <v>46.952618399999992</v>
      </c>
    </row>
    <row r="9" spans="1:19" x14ac:dyDescent="0.2">
      <c r="A9" s="1">
        <v>44682</v>
      </c>
      <c r="B9" s="43">
        <v>220.55</v>
      </c>
      <c r="C9" s="43">
        <v>0.14199999999999999</v>
      </c>
      <c r="D9" s="3">
        <f t="shared" si="3"/>
        <v>31.318099999999998</v>
      </c>
      <c r="E9" s="43">
        <v>397.07</v>
      </c>
      <c r="F9" s="43">
        <v>0.05</v>
      </c>
      <c r="G9" s="3">
        <f t="shared" si="4"/>
        <v>19.8535</v>
      </c>
      <c r="H9">
        <f t="shared" si="5"/>
        <v>617.62</v>
      </c>
      <c r="I9" s="43">
        <v>484.86</v>
      </c>
      <c r="J9">
        <f t="shared" si="6"/>
        <v>950.18000000000006</v>
      </c>
      <c r="K9" s="67">
        <f t="shared" si="0"/>
        <v>0.35709659661280402</v>
      </c>
      <c r="L9" s="41">
        <f t="shared" si="7"/>
        <v>339.30604416955413</v>
      </c>
      <c r="M9" s="41">
        <f t="shared" si="8"/>
        <v>610.87395583044599</v>
      </c>
      <c r="N9" s="5">
        <f t="shared" si="1"/>
        <v>94.713942400000008</v>
      </c>
      <c r="O9" s="3">
        <f t="shared" si="2"/>
        <v>51.171599999999998</v>
      </c>
      <c r="P9" s="45">
        <v>152.30000000000001</v>
      </c>
      <c r="Q9" s="45">
        <v>4.1000000000000002E-2</v>
      </c>
      <c r="R9" s="3">
        <f t="shared" si="9"/>
        <v>6.2443000000000008</v>
      </c>
      <c r="S9" s="5">
        <f t="shared" si="10"/>
        <v>49.786642400000012</v>
      </c>
    </row>
    <row r="10" spans="1:19" x14ac:dyDescent="0.2">
      <c r="A10" s="1">
        <v>44713</v>
      </c>
      <c r="B10" s="43">
        <v>47.53</v>
      </c>
      <c r="C10" s="43">
        <v>0.14199999999999999</v>
      </c>
      <c r="D10" s="3">
        <f t="shared" si="3"/>
        <v>6.7492599999999996</v>
      </c>
      <c r="E10" s="43">
        <v>513.16</v>
      </c>
      <c r="F10" s="43">
        <v>0.05</v>
      </c>
      <c r="G10" s="3">
        <f t="shared" si="4"/>
        <v>25.658000000000001</v>
      </c>
      <c r="H10">
        <f t="shared" si="5"/>
        <v>560.68999999999994</v>
      </c>
      <c r="I10" s="43">
        <v>555.72</v>
      </c>
      <c r="J10">
        <f t="shared" si="6"/>
        <v>975.70999999999981</v>
      </c>
      <c r="K10" s="67">
        <f t="shared" si="0"/>
        <v>8.4770550571617129E-2</v>
      </c>
      <c r="L10" s="41">
        <f t="shared" si="7"/>
        <v>82.711473898232526</v>
      </c>
      <c r="M10" s="41">
        <f t="shared" si="8"/>
        <v>892.99852610176731</v>
      </c>
      <c r="N10" s="5">
        <f t="shared" si="1"/>
        <v>97.258772799999974</v>
      </c>
      <c r="O10" s="3">
        <f t="shared" si="2"/>
        <v>32.407260000000001</v>
      </c>
      <c r="P10" s="45">
        <v>140.69999999999999</v>
      </c>
      <c r="Q10" s="45">
        <v>4.1000000000000002E-2</v>
      </c>
      <c r="R10" s="3">
        <f t="shared" si="9"/>
        <v>5.7686999999999999</v>
      </c>
      <c r="S10" s="5">
        <f t="shared" si="10"/>
        <v>70.620212799999962</v>
      </c>
    </row>
    <row r="11" spans="1:19" x14ac:dyDescent="0.2">
      <c r="A11" s="1">
        <v>44743</v>
      </c>
      <c r="B11" s="43">
        <v>43.41</v>
      </c>
      <c r="C11" s="43">
        <v>0.14199999999999999</v>
      </c>
      <c r="D11" s="3">
        <f t="shared" si="3"/>
        <v>6.1642199999999994</v>
      </c>
      <c r="E11" s="43">
        <v>504.36</v>
      </c>
      <c r="F11" s="43">
        <v>0.05</v>
      </c>
      <c r="G11" s="3">
        <f t="shared" si="4"/>
        <v>25.218000000000004</v>
      </c>
      <c r="H11">
        <f t="shared" si="5"/>
        <v>547.77</v>
      </c>
      <c r="I11" s="43">
        <v>519.83000000000004</v>
      </c>
      <c r="J11">
        <f t="shared" si="6"/>
        <v>951.99999999999989</v>
      </c>
      <c r="K11" s="67">
        <f t="shared" si="0"/>
        <v>7.9248589736568259E-2</v>
      </c>
      <c r="L11" s="41">
        <f t="shared" si="7"/>
        <v>75.444657429212967</v>
      </c>
      <c r="M11" s="41">
        <f t="shared" si="8"/>
        <v>876.55534257078693</v>
      </c>
      <c r="N11" s="5">
        <f t="shared" si="1"/>
        <v>94.895359999999982</v>
      </c>
      <c r="O11" s="3">
        <f t="shared" si="2"/>
        <v>31.382220000000004</v>
      </c>
      <c r="P11" s="45">
        <v>115.6</v>
      </c>
      <c r="Q11" s="45">
        <v>4.1000000000000002E-2</v>
      </c>
      <c r="R11" s="3">
        <f t="shared" si="9"/>
        <v>4.7396000000000003</v>
      </c>
      <c r="S11" s="5">
        <f t="shared" si="10"/>
        <v>68.252739999999974</v>
      </c>
    </row>
    <row r="12" spans="1:19" x14ac:dyDescent="0.2">
      <c r="A12" s="1">
        <v>44774</v>
      </c>
      <c r="B12" s="43">
        <v>56.4</v>
      </c>
      <c r="C12" s="43">
        <v>0.14199999999999999</v>
      </c>
      <c r="D12" s="3">
        <f t="shared" si="3"/>
        <v>8.008799999999999</v>
      </c>
      <c r="E12" s="43">
        <v>331.28</v>
      </c>
      <c r="F12" s="43">
        <v>0.05</v>
      </c>
      <c r="G12" s="3">
        <f t="shared" si="4"/>
        <v>16.564</v>
      </c>
      <c r="H12">
        <f t="shared" si="5"/>
        <v>387.67999999999995</v>
      </c>
      <c r="I12" s="43">
        <v>529.17999999999995</v>
      </c>
      <c r="J12">
        <f t="shared" si="6"/>
        <v>691.65999999999985</v>
      </c>
      <c r="K12" s="67">
        <f t="shared" si="0"/>
        <v>0.14548080891456874</v>
      </c>
      <c r="L12" s="41">
        <f t="shared" si="7"/>
        <v>100.6232562938506</v>
      </c>
      <c r="M12" s="41">
        <f t="shared" si="8"/>
        <v>591.03674370614931</v>
      </c>
      <c r="N12" s="5">
        <f t="shared" si="1"/>
        <v>68.944668799999988</v>
      </c>
      <c r="O12" s="3">
        <f t="shared" si="2"/>
        <v>24.572800000000001</v>
      </c>
      <c r="P12" s="45">
        <v>225.2</v>
      </c>
      <c r="Q12" s="45">
        <v>4.1000000000000002E-2</v>
      </c>
      <c r="R12" s="3">
        <f t="shared" si="9"/>
        <v>9.2332000000000001</v>
      </c>
      <c r="S12" s="5">
        <f t="shared" si="10"/>
        <v>53.605068799999984</v>
      </c>
    </row>
    <row r="13" spans="1:19" x14ac:dyDescent="0.2">
      <c r="A13" s="1">
        <v>44805</v>
      </c>
      <c r="B13" s="43">
        <v>24.92</v>
      </c>
      <c r="C13" s="43">
        <v>0.14199999999999999</v>
      </c>
      <c r="D13" s="3">
        <f t="shared" si="3"/>
        <v>3.53864</v>
      </c>
      <c r="E13" s="43">
        <v>647.78</v>
      </c>
      <c r="F13" s="43">
        <v>0.05</v>
      </c>
      <c r="G13" s="3">
        <f t="shared" si="4"/>
        <v>32.389000000000003</v>
      </c>
      <c r="H13">
        <f t="shared" si="5"/>
        <v>672.69999999999993</v>
      </c>
      <c r="I13" s="43">
        <v>337.82</v>
      </c>
      <c r="J13">
        <f t="shared" si="6"/>
        <v>926.42</v>
      </c>
      <c r="K13" s="67">
        <f t="shared" si="0"/>
        <v>3.7044745057232056E-2</v>
      </c>
      <c r="L13" s="41">
        <f t="shared" si="7"/>
        <v>34.31899271592092</v>
      </c>
      <c r="M13" s="41">
        <f t="shared" si="8"/>
        <v>892.10100728407906</v>
      </c>
      <c r="N13" s="5">
        <f t="shared" si="1"/>
        <v>92.345545599999994</v>
      </c>
      <c r="O13" s="3">
        <f t="shared" si="2"/>
        <v>35.927640000000004</v>
      </c>
      <c r="P13" s="45">
        <v>84.1</v>
      </c>
      <c r="Q13" s="45">
        <v>4.1000000000000002E-2</v>
      </c>
      <c r="R13" s="3">
        <f t="shared" si="9"/>
        <v>3.4480999999999997</v>
      </c>
      <c r="S13" s="5">
        <f t="shared" si="10"/>
        <v>59.866005599999987</v>
      </c>
    </row>
    <row r="14" spans="1:19" x14ac:dyDescent="0.2">
      <c r="A14" s="1">
        <v>44835</v>
      </c>
      <c r="B14" s="43">
        <v>67.45</v>
      </c>
      <c r="C14" s="43">
        <v>0.14199999999999999</v>
      </c>
      <c r="D14" s="3">
        <f t="shared" si="3"/>
        <v>9.5778999999999996</v>
      </c>
      <c r="E14" s="43">
        <v>800.84</v>
      </c>
      <c r="F14" s="43">
        <v>0.05</v>
      </c>
      <c r="G14" s="3">
        <f t="shared" si="4"/>
        <v>40.042000000000002</v>
      </c>
      <c r="H14">
        <f t="shared" si="5"/>
        <v>868.29000000000008</v>
      </c>
      <c r="I14" s="43">
        <v>273.27</v>
      </c>
      <c r="J14">
        <f t="shared" si="6"/>
        <v>1096.76</v>
      </c>
      <c r="K14" s="67">
        <f t="shared" si="0"/>
        <v>7.7681419802139828E-2</v>
      </c>
      <c r="L14" s="41">
        <f t="shared" si="7"/>
        <v>85.197873982194878</v>
      </c>
      <c r="M14" s="41">
        <f t="shared" si="8"/>
        <v>1011.5621260178051</v>
      </c>
      <c r="N14" s="5">
        <f t="shared" si="1"/>
        <v>109.32503679999999</v>
      </c>
      <c r="O14" s="3">
        <f t="shared" si="2"/>
        <v>49.619900000000001</v>
      </c>
      <c r="P14" s="45">
        <v>44.8</v>
      </c>
      <c r="Q14" s="45">
        <v>4.1000000000000002E-2</v>
      </c>
      <c r="R14" s="3">
        <f t="shared" si="9"/>
        <v>1.8368</v>
      </c>
      <c r="S14" s="5">
        <f t="shared" si="10"/>
        <v>61.541936799999988</v>
      </c>
    </row>
    <row r="15" spans="1:19" x14ac:dyDescent="0.2">
      <c r="A15" s="1">
        <v>44866</v>
      </c>
      <c r="B15" s="43">
        <v>147.97999999999999</v>
      </c>
      <c r="C15" s="43">
        <v>0.14199999999999999</v>
      </c>
      <c r="D15" s="3">
        <f t="shared" si="3"/>
        <v>21.013159999999996</v>
      </c>
      <c r="E15" s="43">
        <v>741.96</v>
      </c>
      <c r="F15" s="43">
        <v>0.05</v>
      </c>
      <c r="G15" s="3">
        <f t="shared" si="4"/>
        <v>37.098000000000006</v>
      </c>
      <c r="H15">
        <f t="shared" si="5"/>
        <v>889.94</v>
      </c>
      <c r="I15" s="43">
        <v>130.62</v>
      </c>
      <c r="J15">
        <f t="shared" si="6"/>
        <v>1006.86</v>
      </c>
      <c r="K15" s="67">
        <f t="shared" si="0"/>
        <v>0.16628087286783377</v>
      </c>
      <c r="L15" s="41">
        <f t="shared" si="7"/>
        <v>167.42155965570711</v>
      </c>
      <c r="M15" s="41">
        <f t="shared" si="8"/>
        <v>839.43844034429287</v>
      </c>
      <c r="N15" s="5">
        <f t="shared" si="1"/>
        <v>100.36380480000001</v>
      </c>
      <c r="O15" s="3">
        <f t="shared" si="2"/>
        <v>58.111159999999998</v>
      </c>
      <c r="P15" s="45">
        <v>13.7</v>
      </c>
      <c r="Q15" s="45">
        <v>4.1000000000000002E-2</v>
      </c>
      <c r="R15" s="3">
        <f t="shared" si="9"/>
        <v>0.56169999999999998</v>
      </c>
      <c r="S15" s="5">
        <f t="shared" si="10"/>
        <v>42.814344800000015</v>
      </c>
    </row>
    <row r="16" spans="1:19" s="52" customFormat="1" ht="17" thickBot="1" x14ac:dyDescent="0.25">
      <c r="A16" s="49">
        <v>44896</v>
      </c>
      <c r="B16" s="50">
        <v>220.04</v>
      </c>
      <c r="C16" s="50">
        <v>0.14199999999999999</v>
      </c>
      <c r="D16" s="51">
        <f t="shared" si="3"/>
        <v>31.245679999999997</v>
      </c>
      <c r="E16" s="50">
        <v>817.97</v>
      </c>
      <c r="F16" s="50">
        <v>0.05</v>
      </c>
      <c r="G16" s="51">
        <f t="shared" si="4"/>
        <v>40.898500000000006</v>
      </c>
      <c r="H16" s="52">
        <f t="shared" si="5"/>
        <v>1038.01</v>
      </c>
      <c r="I16" s="50">
        <v>106.56</v>
      </c>
      <c r="J16" s="52">
        <f t="shared" si="6"/>
        <v>1139.27</v>
      </c>
      <c r="K16" s="68">
        <f t="shared" si="0"/>
        <v>0.21198254352077534</v>
      </c>
      <c r="L16" s="53">
        <f t="shared" si="7"/>
        <v>241.5053523569137</v>
      </c>
      <c r="M16" s="53">
        <f t="shared" si="8"/>
        <v>897.76464764308628</v>
      </c>
      <c r="N16" s="54">
        <f t="shared" si="1"/>
        <v>113.56243360000001</v>
      </c>
      <c r="O16" s="51">
        <f t="shared" si="2"/>
        <v>72.144180000000006</v>
      </c>
      <c r="P16" s="55">
        <v>5.3</v>
      </c>
      <c r="Q16" s="55">
        <v>4.1000000000000002E-2</v>
      </c>
      <c r="R16" s="51">
        <f t="shared" si="9"/>
        <v>0.21729999999999999</v>
      </c>
      <c r="S16" s="54">
        <f t="shared" si="10"/>
        <v>41.635553600000001</v>
      </c>
    </row>
    <row r="17" spans="1:19" x14ac:dyDescent="0.2">
      <c r="A17" s="1">
        <v>44927</v>
      </c>
      <c r="B17" s="43">
        <v>256.02</v>
      </c>
      <c r="C17" s="43">
        <v>0.14199999999999999</v>
      </c>
      <c r="D17" s="3">
        <f t="shared" ref="D17:D80" si="11">B17*C17</f>
        <v>36.354839999999996</v>
      </c>
      <c r="E17" s="43">
        <v>772.53</v>
      </c>
      <c r="F17" s="43">
        <v>0.05</v>
      </c>
      <c r="G17" s="3">
        <f t="shared" si="4"/>
        <v>38.6265</v>
      </c>
      <c r="H17">
        <f t="shared" si="5"/>
        <v>1028.55</v>
      </c>
      <c r="I17" s="43">
        <v>142.34</v>
      </c>
      <c r="J17">
        <f t="shared" si="6"/>
        <v>1157.7399999999998</v>
      </c>
      <c r="K17" s="67">
        <f t="shared" si="0"/>
        <v>0.24891351903164649</v>
      </c>
      <c r="L17" s="41">
        <f t="shared" ref="L17:L80" si="12">J17*K17</f>
        <v>288.17713752369838</v>
      </c>
      <c r="M17" s="41">
        <f t="shared" ref="M17:M80" si="13">J17-L17</f>
        <v>869.56286247630146</v>
      </c>
      <c r="N17" s="5">
        <f t="shared" si="1"/>
        <v>115.4035232</v>
      </c>
      <c r="O17" s="3">
        <f t="shared" si="2"/>
        <v>74.981339999999989</v>
      </c>
      <c r="P17" s="45">
        <v>13.15</v>
      </c>
      <c r="Q17" s="45">
        <v>4.1000000000000002E-2</v>
      </c>
      <c r="R17" s="3">
        <f t="shared" ref="R17:R80" si="14">Q17*P17</f>
        <v>0.53915000000000002</v>
      </c>
      <c r="S17" s="5">
        <f t="shared" ref="S17:S80" si="15">N17-O17+R17</f>
        <v>40.961333200000006</v>
      </c>
    </row>
    <row r="18" spans="1:19" x14ac:dyDescent="0.2">
      <c r="A18" s="1">
        <v>44958</v>
      </c>
      <c r="B18" s="43">
        <v>165.42</v>
      </c>
      <c r="C18" s="43">
        <v>0.14199999999999999</v>
      </c>
      <c r="D18" s="3">
        <f t="shared" si="11"/>
        <v>23.489639999999998</v>
      </c>
      <c r="E18" s="43">
        <v>661.03</v>
      </c>
      <c r="F18" s="43">
        <v>0.05</v>
      </c>
      <c r="G18" s="3">
        <f t="shared" si="4"/>
        <v>33.051499999999997</v>
      </c>
      <c r="H18">
        <f t="shared" si="5"/>
        <v>826.44999999999993</v>
      </c>
      <c r="I18" s="43">
        <v>197.38</v>
      </c>
      <c r="J18">
        <f t="shared" si="6"/>
        <v>985.99999999999989</v>
      </c>
      <c r="K18" s="67">
        <f t="shared" si="0"/>
        <v>0.20015729929215317</v>
      </c>
      <c r="L18" s="41">
        <f t="shared" si="12"/>
        <v>197.35509710206301</v>
      </c>
      <c r="M18" s="41">
        <f t="shared" si="13"/>
        <v>788.64490289793684</v>
      </c>
      <c r="N18" s="5">
        <f t="shared" si="1"/>
        <v>98.284479999999988</v>
      </c>
      <c r="O18" s="3">
        <f t="shared" si="2"/>
        <v>56.541139999999999</v>
      </c>
      <c r="P18" s="45">
        <v>37.83</v>
      </c>
      <c r="Q18" s="45">
        <v>4.1000000000000002E-2</v>
      </c>
      <c r="R18" s="3">
        <f t="shared" si="14"/>
        <v>1.5510299999999999</v>
      </c>
      <c r="S18" s="5">
        <f t="shared" si="15"/>
        <v>43.294369999999986</v>
      </c>
    </row>
    <row r="19" spans="1:19" x14ac:dyDescent="0.2">
      <c r="A19" s="1">
        <v>44986</v>
      </c>
      <c r="B19" s="43">
        <v>150.63999999999999</v>
      </c>
      <c r="C19" s="43">
        <v>0.14199999999999999</v>
      </c>
      <c r="D19" s="3">
        <f t="shared" si="11"/>
        <v>21.390879999999996</v>
      </c>
      <c r="E19" s="43">
        <v>656.14</v>
      </c>
      <c r="F19" s="43">
        <v>0.05</v>
      </c>
      <c r="G19" s="3">
        <f t="shared" si="4"/>
        <v>32.807000000000002</v>
      </c>
      <c r="H19">
        <f t="shared" si="5"/>
        <v>806.78</v>
      </c>
      <c r="I19" s="43">
        <v>243.09</v>
      </c>
      <c r="J19">
        <f t="shared" si="6"/>
        <v>1000.4999999999999</v>
      </c>
      <c r="K19" s="67">
        <f t="shared" si="0"/>
        <v>0.18671756860606359</v>
      </c>
      <c r="L19" s="41">
        <f t="shared" si="12"/>
        <v>186.8109273903666</v>
      </c>
      <c r="M19" s="41">
        <f t="shared" si="13"/>
        <v>813.68907260963329</v>
      </c>
      <c r="N19" s="5">
        <f t="shared" si="1"/>
        <v>99.729839999999982</v>
      </c>
      <c r="O19" s="3">
        <f t="shared" si="2"/>
        <v>54.197879999999998</v>
      </c>
      <c r="P19" s="45">
        <v>49.37</v>
      </c>
      <c r="Q19" s="45">
        <v>4.1000000000000002E-2</v>
      </c>
      <c r="R19" s="3">
        <f t="shared" si="14"/>
        <v>2.0241699999999998</v>
      </c>
      <c r="S19" s="5">
        <f t="shared" si="15"/>
        <v>47.556129999999982</v>
      </c>
    </row>
    <row r="20" spans="1:19" x14ac:dyDescent="0.2">
      <c r="A20" s="1">
        <v>45017</v>
      </c>
      <c r="B20" s="43">
        <v>42.42</v>
      </c>
      <c r="C20" s="43">
        <v>0.14199999999999999</v>
      </c>
      <c r="D20" s="3">
        <f t="shared" si="11"/>
        <v>6.0236399999999994</v>
      </c>
      <c r="E20" s="43">
        <v>633.4</v>
      </c>
      <c r="F20" s="43">
        <v>0.05</v>
      </c>
      <c r="G20" s="3">
        <f t="shared" si="4"/>
        <v>31.67</v>
      </c>
      <c r="H20">
        <f t="shared" si="5"/>
        <v>675.81999999999994</v>
      </c>
      <c r="I20" s="43">
        <v>419.51</v>
      </c>
      <c r="J20">
        <f t="shared" si="6"/>
        <v>999.05</v>
      </c>
      <c r="K20" s="67">
        <f t="shared" si="0"/>
        <v>6.2768192714036289E-2</v>
      </c>
      <c r="L20" s="41">
        <f t="shared" si="12"/>
        <v>62.708562930957953</v>
      </c>
      <c r="M20" s="41">
        <f t="shared" si="13"/>
        <v>936.34143706904206</v>
      </c>
      <c r="N20" s="5">
        <f t="shared" si="1"/>
        <v>99.585303999999994</v>
      </c>
      <c r="O20" s="3">
        <f t="shared" si="2"/>
        <v>37.693640000000002</v>
      </c>
      <c r="P20" s="45">
        <v>96.28</v>
      </c>
      <c r="Q20" s="45">
        <v>4.1000000000000002E-2</v>
      </c>
      <c r="R20" s="3">
        <f t="shared" si="14"/>
        <v>3.9474800000000001</v>
      </c>
      <c r="S20" s="5">
        <f t="shared" si="15"/>
        <v>65.83914399999999</v>
      </c>
    </row>
    <row r="21" spans="1:19" x14ac:dyDescent="0.2">
      <c r="A21" s="1">
        <v>45047</v>
      </c>
      <c r="B21" s="43">
        <v>28.73</v>
      </c>
      <c r="C21" s="43">
        <v>0.14199999999999999</v>
      </c>
      <c r="D21" s="3">
        <f t="shared" si="11"/>
        <v>4.0796599999999996</v>
      </c>
      <c r="E21" s="43">
        <v>483.82</v>
      </c>
      <c r="F21" s="43">
        <v>0.05</v>
      </c>
      <c r="G21" s="3">
        <f t="shared" si="4"/>
        <v>24.191000000000003</v>
      </c>
      <c r="H21">
        <f t="shared" si="5"/>
        <v>512.54999999999995</v>
      </c>
      <c r="I21" s="43">
        <v>596.48</v>
      </c>
      <c r="J21">
        <f t="shared" si="6"/>
        <v>970.3</v>
      </c>
      <c r="K21" s="67">
        <f t="shared" si="0"/>
        <v>5.6053067993366505E-2</v>
      </c>
      <c r="L21" s="41">
        <f t="shared" si="12"/>
        <v>54.388291873963517</v>
      </c>
      <c r="M21" s="41">
        <f t="shared" si="13"/>
        <v>915.91170812603639</v>
      </c>
      <c r="N21" s="5">
        <f t="shared" si="1"/>
        <v>96.719504000000001</v>
      </c>
      <c r="O21" s="3">
        <f t="shared" si="2"/>
        <v>28.270660000000003</v>
      </c>
      <c r="P21" s="45">
        <v>138.72999999999999</v>
      </c>
      <c r="Q21" s="45">
        <v>4.1000000000000002E-2</v>
      </c>
      <c r="R21" s="3">
        <f t="shared" si="14"/>
        <v>5.6879299999999997</v>
      </c>
      <c r="S21" s="5">
        <f t="shared" si="15"/>
        <v>74.136773999999988</v>
      </c>
    </row>
    <row r="22" spans="1:19" x14ac:dyDescent="0.2">
      <c r="A22" s="1">
        <v>45078</v>
      </c>
      <c r="B22" s="43">
        <v>18.62</v>
      </c>
      <c r="C22" s="43">
        <v>0.40100000000000002</v>
      </c>
      <c r="D22" s="3">
        <f t="shared" si="11"/>
        <v>7.4666200000000007</v>
      </c>
      <c r="E22" s="43">
        <v>462.95</v>
      </c>
      <c r="F22" s="43">
        <v>9.5000000000000001E-2</v>
      </c>
      <c r="G22" s="3">
        <f t="shared" si="4"/>
        <v>43.980249999999998</v>
      </c>
      <c r="H22">
        <f t="shared" si="5"/>
        <v>481.57</v>
      </c>
      <c r="I22" s="43">
        <v>581.1</v>
      </c>
      <c r="J22">
        <f t="shared" si="6"/>
        <v>919.25000000000011</v>
      </c>
      <c r="K22" s="67">
        <f t="shared" si="0"/>
        <v>3.8665199244138963E-2</v>
      </c>
      <c r="L22" s="41">
        <f t="shared" si="12"/>
        <v>35.542984405174749</v>
      </c>
      <c r="M22" s="41">
        <f t="shared" si="13"/>
        <v>883.70701559482541</v>
      </c>
      <c r="N22" s="5">
        <f t="shared" si="1"/>
        <v>239.22562000000005</v>
      </c>
      <c r="O22" s="3">
        <f t="shared" si="2"/>
        <v>51.446869999999997</v>
      </c>
      <c r="P22" s="45">
        <v>143.41999999999999</v>
      </c>
      <c r="Q22" s="45">
        <v>4.1000000000000002E-2</v>
      </c>
      <c r="R22" s="3">
        <f t="shared" si="14"/>
        <v>5.8802199999999996</v>
      </c>
      <c r="S22" s="5">
        <f t="shared" si="15"/>
        <v>193.65897000000007</v>
      </c>
    </row>
    <row r="23" spans="1:19" x14ac:dyDescent="0.2">
      <c r="A23" s="1">
        <v>45108</v>
      </c>
      <c r="B23" s="43">
        <v>41.53</v>
      </c>
      <c r="C23" s="43">
        <v>0.30520000000000003</v>
      </c>
      <c r="D23" s="3">
        <f t="shared" si="11"/>
        <v>12.674956000000002</v>
      </c>
      <c r="E23" s="43">
        <v>545.67999999999995</v>
      </c>
      <c r="F23" s="43">
        <v>9.5000000000000001E-2</v>
      </c>
      <c r="G23" s="3">
        <f t="shared" si="4"/>
        <v>51.839599999999997</v>
      </c>
      <c r="H23">
        <f t="shared" si="5"/>
        <v>587.20999999999992</v>
      </c>
      <c r="I23" s="43">
        <v>407.28</v>
      </c>
      <c r="J23">
        <f t="shared" si="6"/>
        <v>920.34999999999991</v>
      </c>
      <c r="K23" s="67">
        <f t="shared" si="0"/>
        <v>7.0724272406805067E-2</v>
      </c>
      <c r="L23" s="41">
        <f t="shared" si="12"/>
        <v>65.091084109603031</v>
      </c>
      <c r="M23" s="41">
        <f t="shared" si="13"/>
        <v>855.25891589039691</v>
      </c>
      <c r="N23" s="5">
        <f t="shared" si="1"/>
        <v>191.90033779999999</v>
      </c>
      <c r="O23" s="3">
        <f t="shared" si="2"/>
        <v>64.514555999999999</v>
      </c>
      <c r="P23" s="45">
        <v>74.14</v>
      </c>
      <c r="Q23" s="45">
        <v>4.1000000000000002E-2</v>
      </c>
      <c r="R23" s="3">
        <f t="shared" si="14"/>
        <v>3.0397400000000001</v>
      </c>
      <c r="S23" s="5">
        <f t="shared" si="15"/>
        <v>130.42552179999998</v>
      </c>
    </row>
    <row r="24" spans="1:19" x14ac:dyDescent="0.2">
      <c r="A24" s="1">
        <v>45139</v>
      </c>
      <c r="B24" s="43">
        <v>8.1999999999999993</v>
      </c>
      <c r="C24" s="43">
        <v>0.30520000000000003</v>
      </c>
      <c r="D24" s="3">
        <f t="shared" si="11"/>
        <v>2.50264</v>
      </c>
      <c r="E24" s="43">
        <v>363.48</v>
      </c>
      <c r="F24" s="43">
        <v>9.5000000000000001E-2</v>
      </c>
      <c r="G24" s="3">
        <f t="shared" si="4"/>
        <v>34.5306</v>
      </c>
      <c r="H24">
        <f t="shared" si="5"/>
        <v>371.68</v>
      </c>
      <c r="I24" s="43">
        <v>403.87</v>
      </c>
      <c r="J24">
        <f t="shared" si="6"/>
        <v>675.15</v>
      </c>
      <c r="K24" s="67">
        <f t="shared" si="0"/>
        <v>2.2061988807576406E-2</v>
      </c>
      <c r="L24" s="41">
        <f t="shared" si="12"/>
        <v>14.895151743435211</v>
      </c>
      <c r="M24" s="41">
        <f t="shared" si="13"/>
        <v>660.25484825656474</v>
      </c>
      <c r="N24" s="5">
        <f t="shared" si="1"/>
        <v>140.77417620000003</v>
      </c>
      <c r="O24" s="3">
        <f t="shared" si="2"/>
        <v>37.033239999999999</v>
      </c>
      <c r="P24" s="45">
        <v>100.4</v>
      </c>
      <c r="Q24" s="45">
        <v>4.1000000000000002E-2</v>
      </c>
      <c r="R24" s="3">
        <f t="shared" si="14"/>
        <v>4.1164000000000005</v>
      </c>
      <c r="S24" s="5">
        <f t="shared" si="15"/>
        <v>107.85733620000002</v>
      </c>
    </row>
    <row r="25" spans="1:19" x14ac:dyDescent="0.2">
      <c r="A25" s="1">
        <v>45170</v>
      </c>
      <c r="B25" s="43">
        <v>22.07</v>
      </c>
      <c r="C25" s="43">
        <v>0.30520000000000003</v>
      </c>
      <c r="D25" s="3">
        <f t="shared" si="11"/>
        <v>6.7357640000000005</v>
      </c>
      <c r="E25" s="43">
        <v>599.85</v>
      </c>
      <c r="F25" s="43">
        <v>9.5000000000000001E-2</v>
      </c>
      <c r="G25" s="3">
        <f t="shared" si="4"/>
        <v>56.985750000000003</v>
      </c>
      <c r="H25">
        <f t="shared" si="5"/>
        <v>621.92000000000007</v>
      </c>
      <c r="I25" s="43">
        <v>341.67</v>
      </c>
      <c r="J25">
        <f t="shared" si="6"/>
        <v>895.05000000000018</v>
      </c>
      <c r="K25" s="67">
        <f t="shared" si="0"/>
        <v>3.5486879341394391E-2</v>
      </c>
      <c r="L25" s="41">
        <f t="shared" si="12"/>
        <v>31.762531354515055</v>
      </c>
      <c r="M25" s="41">
        <f t="shared" si="13"/>
        <v>863.28746864548509</v>
      </c>
      <c r="N25" s="5">
        <f t="shared" si="1"/>
        <v>186.62508540000005</v>
      </c>
      <c r="O25" s="3">
        <f t="shared" si="2"/>
        <v>63.721514000000006</v>
      </c>
      <c r="P25" s="45">
        <v>68.540000000000006</v>
      </c>
      <c r="Q25" s="45">
        <v>0.08</v>
      </c>
      <c r="R25" s="3">
        <f t="shared" si="14"/>
        <v>5.483200000000001</v>
      </c>
      <c r="S25" s="5">
        <f t="shared" si="15"/>
        <v>128.38677140000004</v>
      </c>
    </row>
    <row r="26" spans="1:19" x14ac:dyDescent="0.2">
      <c r="A26" s="1">
        <v>45200</v>
      </c>
      <c r="B26" s="43">
        <v>10.63</v>
      </c>
      <c r="C26" s="43">
        <v>0.30520000000000003</v>
      </c>
      <c r="D26" s="3">
        <f t="shared" si="11"/>
        <v>3.2442760000000006</v>
      </c>
      <c r="E26" s="43">
        <v>748.82</v>
      </c>
      <c r="F26" s="43">
        <v>0.09</v>
      </c>
      <c r="G26" s="3">
        <f t="shared" si="4"/>
        <v>67.393799999999999</v>
      </c>
      <c r="H26">
        <f t="shared" si="5"/>
        <v>759.45</v>
      </c>
      <c r="I26" s="43">
        <v>236.57</v>
      </c>
      <c r="J26">
        <f t="shared" si="6"/>
        <v>979.32999999999993</v>
      </c>
      <c r="K26" s="67">
        <f t="shared" si="0"/>
        <v>1.3996971492527488E-2</v>
      </c>
      <c r="L26" s="41">
        <f t="shared" si="12"/>
        <v>13.707654091776943</v>
      </c>
      <c r="M26" s="41">
        <f t="shared" si="13"/>
        <v>965.622345908223</v>
      </c>
      <c r="N26" s="5">
        <f t="shared" si="1"/>
        <v>201.94568064000003</v>
      </c>
      <c r="O26" s="3">
        <f t="shared" si="2"/>
        <v>70.638075999999998</v>
      </c>
      <c r="P26" s="45">
        <v>16.690000000000001</v>
      </c>
      <c r="Q26" s="45">
        <v>0.08</v>
      </c>
      <c r="R26" s="3">
        <f t="shared" si="14"/>
        <v>1.3352000000000002</v>
      </c>
      <c r="S26" s="5">
        <f t="shared" si="15"/>
        <v>132.64280464000001</v>
      </c>
    </row>
    <row r="27" spans="1:19" x14ac:dyDescent="0.2">
      <c r="A27" s="1">
        <v>45231</v>
      </c>
      <c r="B27" s="43">
        <v>7.58</v>
      </c>
      <c r="C27" s="43">
        <v>0.30520000000000003</v>
      </c>
      <c r="D27" s="3">
        <f t="shared" si="11"/>
        <v>2.3134160000000001</v>
      </c>
      <c r="E27" s="43">
        <v>892.16</v>
      </c>
      <c r="F27" s="43">
        <v>0.09</v>
      </c>
      <c r="G27" s="3">
        <f t="shared" si="4"/>
        <v>80.294399999999996</v>
      </c>
      <c r="H27">
        <f t="shared" si="5"/>
        <v>899.74</v>
      </c>
      <c r="I27" s="43">
        <v>140.1</v>
      </c>
      <c r="J27">
        <f t="shared" si="6"/>
        <v>1013.3699999999999</v>
      </c>
      <c r="K27" s="67">
        <f t="shared" si="0"/>
        <v>8.4246560117367236E-3</v>
      </c>
      <c r="L27" s="41">
        <f t="shared" si="12"/>
        <v>8.5372936626136422</v>
      </c>
      <c r="M27" s="41">
        <f t="shared" si="13"/>
        <v>1004.8327063373863</v>
      </c>
      <c r="N27" s="5">
        <f t="shared" si="1"/>
        <v>208.96500096</v>
      </c>
      <c r="O27" s="3">
        <f t="shared" si="2"/>
        <v>82.607816</v>
      </c>
      <c r="P27" s="45">
        <v>26.47</v>
      </c>
      <c r="Q27" s="45">
        <v>0.08</v>
      </c>
      <c r="R27" s="3">
        <f t="shared" si="14"/>
        <v>2.1175999999999999</v>
      </c>
      <c r="S27" s="5">
        <f t="shared" si="15"/>
        <v>128.47478495999999</v>
      </c>
    </row>
    <row r="28" spans="1:19" s="52" customFormat="1" ht="17" thickBot="1" x14ac:dyDescent="0.25">
      <c r="A28" s="49">
        <v>45261</v>
      </c>
      <c r="B28" s="50">
        <v>100.56</v>
      </c>
      <c r="C28" s="50">
        <v>0.30520000000000003</v>
      </c>
      <c r="D28" s="51">
        <f t="shared" si="11"/>
        <v>30.690912000000004</v>
      </c>
      <c r="E28" s="50">
        <v>1091.72</v>
      </c>
      <c r="F28" s="50">
        <v>0.09</v>
      </c>
      <c r="G28" s="51">
        <f t="shared" si="4"/>
        <v>98.254800000000003</v>
      </c>
      <c r="H28" s="52">
        <f t="shared" si="5"/>
        <v>1192.28</v>
      </c>
      <c r="I28" s="50">
        <v>76.430000000000007</v>
      </c>
      <c r="J28" s="52">
        <f t="shared" si="6"/>
        <v>1225.3</v>
      </c>
      <c r="K28" s="68">
        <f t="shared" si="0"/>
        <v>8.4342604086288464E-2</v>
      </c>
      <c r="L28" s="53">
        <f t="shared" si="12"/>
        <v>103.34499278692925</v>
      </c>
      <c r="M28" s="53">
        <f t="shared" si="13"/>
        <v>1121.9550072130708</v>
      </c>
      <c r="N28" s="54">
        <f t="shared" si="1"/>
        <v>252.66666240000004</v>
      </c>
      <c r="O28" s="51">
        <f t="shared" si="2"/>
        <v>128.94571200000001</v>
      </c>
      <c r="P28" s="55">
        <v>43.41</v>
      </c>
      <c r="Q28" s="55">
        <v>0.08</v>
      </c>
      <c r="R28" s="51">
        <f t="shared" si="14"/>
        <v>3.4727999999999999</v>
      </c>
      <c r="S28" s="54">
        <f t="shared" si="15"/>
        <v>127.19375040000003</v>
      </c>
    </row>
    <row r="29" spans="1:19" x14ac:dyDescent="0.2">
      <c r="A29" s="1">
        <v>45292</v>
      </c>
      <c r="B29" s="43">
        <v>167.5</v>
      </c>
      <c r="C29" s="43">
        <v>0.30520000000000003</v>
      </c>
      <c r="D29" s="3">
        <f t="shared" si="11"/>
        <v>51.121000000000002</v>
      </c>
      <c r="E29" s="43">
        <v>1074.1500000000001</v>
      </c>
      <c r="F29" s="43">
        <v>0.09</v>
      </c>
      <c r="G29" s="3">
        <f t="shared" si="4"/>
        <v>96.673500000000004</v>
      </c>
      <c r="H29">
        <f t="shared" si="5"/>
        <v>1241.6500000000001</v>
      </c>
      <c r="I29" s="43">
        <v>145.78</v>
      </c>
      <c r="J29">
        <f t="shared" si="6"/>
        <v>1377.22</v>
      </c>
      <c r="K29" s="67">
        <f t="shared" si="0"/>
        <v>0.13490113961261224</v>
      </c>
      <c r="L29" s="41">
        <f t="shared" si="12"/>
        <v>185.78854749728183</v>
      </c>
      <c r="M29" s="41">
        <f t="shared" si="13"/>
        <v>1191.4314525027182</v>
      </c>
      <c r="N29" s="5">
        <f t="shared" si="1"/>
        <v>283.99378176000005</v>
      </c>
      <c r="O29" s="3">
        <f t="shared" si="2"/>
        <v>147.7945</v>
      </c>
      <c r="P29" s="45">
        <v>10.210000000000001</v>
      </c>
      <c r="Q29" s="45">
        <v>0.08</v>
      </c>
      <c r="R29" s="3">
        <f t="shared" si="14"/>
        <v>0.81680000000000008</v>
      </c>
      <c r="S29" s="5">
        <f t="shared" si="15"/>
        <v>137.01608176000005</v>
      </c>
    </row>
    <row r="30" spans="1:19" x14ac:dyDescent="0.2">
      <c r="A30" s="1">
        <v>45323</v>
      </c>
      <c r="B30" s="43">
        <v>58.94</v>
      </c>
      <c r="C30" s="43">
        <v>0.30520000000000003</v>
      </c>
      <c r="D30" s="3">
        <f t="shared" si="11"/>
        <v>17.988488</v>
      </c>
      <c r="E30" s="43">
        <v>964.65</v>
      </c>
      <c r="F30" s="43">
        <v>0.09</v>
      </c>
      <c r="G30" s="3">
        <f t="shared" si="4"/>
        <v>86.8185</v>
      </c>
      <c r="H30">
        <f t="shared" si="5"/>
        <v>1023.5899999999999</v>
      </c>
      <c r="I30" s="43">
        <v>119.13</v>
      </c>
      <c r="J30">
        <f t="shared" si="6"/>
        <v>1121.8299999999997</v>
      </c>
      <c r="K30" s="67">
        <f t="shared" si="0"/>
        <v>5.7581648902392563E-2</v>
      </c>
      <c r="L30" s="41">
        <f t="shared" si="12"/>
        <v>64.596821188171035</v>
      </c>
      <c r="M30" s="41">
        <f t="shared" si="13"/>
        <v>1057.2331788118286</v>
      </c>
      <c r="N30" s="5">
        <f t="shared" si="1"/>
        <v>231.33032063999997</v>
      </c>
      <c r="O30" s="3">
        <f t="shared" si="2"/>
        <v>104.806988</v>
      </c>
      <c r="P30" s="45">
        <v>20.89</v>
      </c>
      <c r="Q30" s="45">
        <v>0.08</v>
      </c>
      <c r="R30" s="3">
        <f t="shared" si="14"/>
        <v>1.6712</v>
      </c>
      <c r="S30" s="5">
        <f t="shared" si="15"/>
        <v>128.19453263999998</v>
      </c>
    </row>
    <row r="31" spans="1:19" x14ac:dyDescent="0.2">
      <c r="A31" s="1">
        <v>45352</v>
      </c>
      <c r="B31" s="43">
        <v>42.74</v>
      </c>
      <c r="C31" s="43">
        <v>0.30520000000000003</v>
      </c>
      <c r="D31" s="3">
        <f t="shared" si="11"/>
        <v>13.044248000000001</v>
      </c>
      <c r="E31" s="43">
        <v>719.85</v>
      </c>
      <c r="F31" s="43">
        <v>0.09</v>
      </c>
      <c r="G31" s="3">
        <f t="shared" si="4"/>
        <v>64.786500000000004</v>
      </c>
      <c r="H31">
        <f t="shared" si="5"/>
        <v>762.59</v>
      </c>
      <c r="I31" s="43">
        <v>292.05</v>
      </c>
      <c r="J31">
        <f t="shared" si="6"/>
        <v>997.40000000000009</v>
      </c>
      <c r="K31" s="67">
        <f t="shared" si="0"/>
        <v>5.6045843769260022E-2</v>
      </c>
      <c r="L31" s="41">
        <f t="shared" si="12"/>
        <v>55.900124575459948</v>
      </c>
      <c r="M31" s="41">
        <f t="shared" si="13"/>
        <v>941.49987542454016</v>
      </c>
      <c r="N31" s="5">
        <f t="shared" si="1"/>
        <v>205.67185920000006</v>
      </c>
      <c r="O31" s="3">
        <f t="shared" si="2"/>
        <v>77.830748</v>
      </c>
      <c r="P31" s="45">
        <v>57.24</v>
      </c>
      <c r="Q31" s="45">
        <v>0.08</v>
      </c>
      <c r="R31" s="3">
        <f t="shared" si="14"/>
        <v>4.5792000000000002</v>
      </c>
      <c r="S31" s="5">
        <f t="shared" si="15"/>
        <v>132.42031120000007</v>
      </c>
    </row>
    <row r="32" spans="1:19" x14ac:dyDescent="0.2">
      <c r="A32" s="1">
        <v>45383</v>
      </c>
      <c r="B32" s="43">
        <v>16.18</v>
      </c>
      <c r="C32" s="43">
        <v>0.2712</v>
      </c>
      <c r="D32" s="3">
        <f t="shared" si="11"/>
        <v>4.3880159999999995</v>
      </c>
      <c r="E32" s="43">
        <v>672.15</v>
      </c>
      <c r="F32" s="43">
        <v>0.09</v>
      </c>
      <c r="G32" s="3">
        <f t="shared" si="4"/>
        <v>60.493499999999997</v>
      </c>
      <c r="H32">
        <f t="shared" si="5"/>
        <v>688.32999999999993</v>
      </c>
      <c r="I32" s="43">
        <v>338.74</v>
      </c>
      <c r="J32">
        <f t="shared" si="6"/>
        <v>957.59999999999991</v>
      </c>
      <c r="K32" s="67">
        <f t="shared" si="0"/>
        <v>2.3506167100082812E-2</v>
      </c>
      <c r="L32" s="41">
        <f t="shared" si="12"/>
        <v>22.509505615039298</v>
      </c>
      <c r="M32" s="41">
        <f t="shared" si="13"/>
        <v>935.09049438496061</v>
      </c>
      <c r="N32" s="5">
        <f t="shared" si="1"/>
        <v>179.8832448</v>
      </c>
      <c r="O32" s="3">
        <f t="shared" si="2"/>
        <v>64.881515999999991</v>
      </c>
      <c r="P32" s="45">
        <v>69.47</v>
      </c>
      <c r="Q32" s="45">
        <v>0.08</v>
      </c>
      <c r="R32" s="3">
        <f t="shared" si="14"/>
        <v>5.5575999999999999</v>
      </c>
      <c r="S32" s="5">
        <f t="shared" si="15"/>
        <v>120.5593288</v>
      </c>
    </row>
    <row r="33" spans="1:20" x14ac:dyDescent="0.2">
      <c r="A33" s="1">
        <v>45413</v>
      </c>
      <c r="B33" s="43">
        <v>12.18</v>
      </c>
      <c r="C33" s="43">
        <v>0.2712</v>
      </c>
      <c r="D33" s="3">
        <f t="shared" si="11"/>
        <v>3.3032159999999999</v>
      </c>
      <c r="E33" s="43">
        <v>423.83</v>
      </c>
      <c r="F33" s="43">
        <v>0.09</v>
      </c>
      <c r="G33" s="3">
        <f t="shared" si="4"/>
        <v>38.1447</v>
      </c>
      <c r="H33">
        <f t="shared" si="5"/>
        <v>436.01</v>
      </c>
      <c r="I33" s="43">
        <v>502.51</v>
      </c>
      <c r="J33">
        <f t="shared" si="6"/>
        <v>709.43999999999994</v>
      </c>
      <c r="K33" s="67">
        <f t="shared" si="0"/>
        <v>2.7935139102314169E-2</v>
      </c>
      <c r="L33" s="41">
        <f t="shared" si="12"/>
        <v>19.818305084745763</v>
      </c>
      <c r="M33" s="41">
        <f t="shared" si="13"/>
        <v>689.62169491525412</v>
      </c>
      <c r="N33" s="5">
        <f t="shared" si="1"/>
        <v>133.26688511999998</v>
      </c>
      <c r="O33" s="3">
        <f t="shared" si="2"/>
        <v>41.447915999999999</v>
      </c>
      <c r="P33" s="45">
        <v>229.08</v>
      </c>
      <c r="Q33" s="45">
        <v>0.08</v>
      </c>
      <c r="R33" s="3">
        <f t="shared" si="14"/>
        <v>18.326400000000003</v>
      </c>
      <c r="S33" s="5">
        <f t="shared" si="15"/>
        <v>110.14536912</v>
      </c>
      <c r="T33" s="46"/>
    </row>
    <row r="34" spans="1:20" x14ac:dyDescent="0.2">
      <c r="A34" s="1">
        <v>45444</v>
      </c>
      <c r="B34" s="43">
        <v>2.61</v>
      </c>
      <c r="C34" s="43">
        <v>0.2712</v>
      </c>
      <c r="D34" s="3">
        <f t="shared" si="11"/>
        <v>0.70783199999999991</v>
      </c>
      <c r="E34" s="43">
        <v>638.30999999999995</v>
      </c>
      <c r="F34" s="43">
        <v>8.5000000000000006E-2</v>
      </c>
      <c r="G34" s="3">
        <f t="shared" si="4"/>
        <v>54.256349999999998</v>
      </c>
      <c r="H34">
        <f t="shared" si="5"/>
        <v>640.91999999999996</v>
      </c>
      <c r="I34" s="43">
        <v>527.23</v>
      </c>
      <c r="J34">
        <f t="shared" si="6"/>
        <v>640.92000000000007</v>
      </c>
      <c r="K34" s="67">
        <f t="shared" si="0"/>
        <v>4.072271110278974E-3</v>
      </c>
      <c r="L34" s="41">
        <f t="shared" si="12"/>
        <v>2.6100000000000003</v>
      </c>
      <c r="M34" s="41">
        <f t="shared" si="13"/>
        <v>638.31000000000006</v>
      </c>
      <c r="N34" s="5">
        <f t="shared" si="1"/>
        <v>118.92142416000003</v>
      </c>
      <c r="O34" s="3">
        <f t="shared" si="2"/>
        <v>54.964182000000001</v>
      </c>
      <c r="P34" s="45">
        <v>527.23</v>
      </c>
      <c r="Q34" s="45">
        <v>0.08</v>
      </c>
      <c r="R34" s="3">
        <f t="shared" si="14"/>
        <v>42.178400000000003</v>
      </c>
      <c r="S34" s="5">
        <f t="shared" si="15"/>
        <v>106.13564216000003</v>
      </c>
      <c r="T34" s="46"/>
    </row>
    <row r="35" spans="1:20" x14ac:dyDescent="0.2">
      <c r="A35" s="1">
        <v>45474</v>
      </c>
      <c r="B35" s="43">
        <v>1.04</v>
      </c>
      <c r="C35" s="43">
        <v>0.2359</v>
      </c>
      <c r="D35" s="3">
        <f t="shared" si="11"/>
        <v>0.245336</v>
      </c>
      <c r="E35" s="43">
        <v>710.47</v>
      </c>
      <c r="F35" s="43">
        <v>8.5000000000000006E-2</v>
      </c>
      <c r="G35" s="3">
        <f t="shared" si="4"/>
        <v>60.389950000000006</v>
      </c>
      <c r="H35">
        <f t="shared" si="5"/>
        <v>711.51</v>
      </c>
      <c r="I35" s="43">
        <v>476.55</v>
      </c>
      <c r="J35">
        <f t="shared" si="6"/>
        <v>865.42</v>
      </c>
      <c r="K35" s="67">
        <f t="shared" ref="K35:K66" si="16">B35/H35</f>
        <v>1.4616800888251748E-3</v>
      </c>
      <c r="L35" s="41">
        <f t="shared" si="12"/>
        <v>1.2649671824710826</v>
      </c>
      <c r="M35" s="41">
        <f t="shared" si="13"/>
        <v>864.15503281752888</v>
      </c>
      <c r="N35" s="5">
        <f t="shared" ref="N35:N66" si="17">((J35*0.54)*C35) + ((J35*0.46)*F35)</f>
        <v>144.08031412</v>
      </c>
      <c r="O35" s="3">
        <f t="shared" ref="O35:O66" si="18">D35+G35</f>
        <v>60.635286000000008</v>
      </c>
      <c r="P35" s="45">
        <v>322.64</v>
      </c>
      <c r="Q35" s="45">
        <v>0.08</v>
      </c>
      <c r="R35" s="3">
        <f t="shared" si="14"/>
        <v>25.811199999999999</v>
      </c>
      <c r="S35" s="5">
        <f t="shared" si="15"/>
        <v>109.25622811999999</v>
      </c>
    </row>
    <row r="36" spans="1:20" x14ac:dyDescent="0.2">
      <c r="A36" s="1">
        <v>45505</v>
      </c>
      <c r="B36" s="43">
        <v>55.33</v>
      </c>
      <c r="C36" s="43">
        <v>0.2359</v>
      </c>
      <c r="D36" s="3">
        <f t="shared" si="11"/>
        <v>13.052346999999999</v>
      </c>
      <c r="E36" s="43">
        <v>447.9</v>
      </c>
      <c r="F36" s="43">
        <v>8.5000000000000006E-2</v>
      </c>
      <c r="G36" s="3">
        <f t="shared" si="4"/>
        <v>38.0715</v>
      </c>
      <c r="H36">
        <f t="shared" si="5"/>
        <v>503.22999999999996</v>
      </c>
      <c r="I36" s="43">
        <v>415.48</v>
      </c>
      <c r="J36">
        <f t="shared" ref="J36:J67" si="19">(B36+E36+I36)-P36</f>
        <v>644.72</v>
      </c>
      <c r="K36" s="67">
        <f t="shared" si="16"/>
        <v>0.10994972477793455</v>
      </c>
      <c r="L36" s="41">
        <f t="shared" si="12"/>
        <v>70.886786558829968</v>
      </c>
      <c r="M36" s="41">
        <f t="shared" si="13"/>
        <v>573.83321344117007</v>
      </c>
      <c r="N36" s="5">
        <f t="shared" si="17"/>
        <v>107.33685392000001</v>
      </c>
      <c r="O36" s="3">
        <f t="shared" si="18"/>
        <v>51.123846999999998</v>
      </c>
      <c r="P36" s="45">
        <v>273.99</v>
      </c>
      <c r="Q36" s="45">
        <v>0.08</v>
      </c>
      <c r="R36" s="3">
        <f t="shared" si="14"/>
        <v>21.9192</v>
      </c>
      <c r="S36" s="5">
        <f t="shared" si="15"/>
        <v>78.132206920000016</v>
      </c>
    </row>
    <row r="37" spans="1:20" x14ac:dyDescent="0.2">
      <c r="A37" s="1">
        <v>45536</v>
      </c>
      <c r="B37" s="43">
        <v>23.77</v>
      </c>
      <c r="C37" s="43">
        <v>0.2359</v>
      </c>
      <c r="D37" s="3">
        <f t="shared" si="11"/>
        <v>5.6073430000000002</v>
      </c>
      <c r="E37" s="43">
        <v>756.55</v>
      </c>
      <c r="F37" s="43">
        <v>8.5000000000000006E-2</v>
      </c>
      <c r="G37" s="3">
        <f t="shared" si="4"/>
        <v>64.306749999999994</v>
      </c>
      <c r="H37">
        <f t="shared" si="5"/>
        <v>780.31999999999994</v>
      </c>
      <c r="I37" s="43">
        <v>322.54000000000002</v>
      </c>
      <c r="J37">
        <f t="shared" si="19"/>
        <v>928.31999999999994</v>
      </c>
      <c r="K37" s="67">
        <f t="shared" si="16"/>
        <v>3.0461861800287062E-2</v>
      </c>
      <c r="L37" s="41">
        <f t="shared" si="12"/>
        <v>28.278355546442484</v>
      </c>
      <c r="M37" s="41">
        <f t="shared" si="13"/>
        <v>900.04164445355741</v>
      </c>
      <c r="N37" s="5">
        <f t="shared" si="17"/>
        <v>154.55228352</v>
      </c>
      <c r="O37" s="3">
        <f t="shared" si="18"/>
        <v>69.914092999999994</v>
      </c>
      <c r="P37" s="45">
        <v>174.54</v>
      </c>
      <c r="Q37" s="45">
        <v>0.08</v>
      </c>
      <c r="R37" s="3">
        <f t="shared" si="14"/>
        <v>13.963200000000001</v>
      </c>
      <c r="S37" s="5">
        <f t="shared" si="15"/>
        <v>98.60139052000001</v>
      </c>
    </row>
    <row r="38" spans="1:20" x14ac:dyDescent="0.2">
      <c r="A38" s="1">
        <v>45566</v>
      </c>
      <c r="B38" s="43">
        <v>19.52</v>
      </c>
      <c r="C38" s="43">
        <v>0.25900000000000001</v>
      </c>
      <c r="D38" s="3">
        <f t="shared" si="11"/>
        <v>5.0556799999999997</v>
      </c>
      <c r="E38" s="43">
        <v>918.7</v>
      </c>
      <c r="F38" s="43">
        <v>8.5000000000000006E-2</v>
      </c>
      <c r="G38" s="3">
        <f t="shared" si="4"/>
        <v>78.089500000000015</v>
      </c>
      <c r="H38">
        <f t="shared" si="5"/>
        <v>938.22</v>
      </c>
      <c r="I38" s="43">
        <v>272.68</v>
      </c>
      <c r="J38">
        <f t="shared" si="19"/>
        <v>1091.3300000000002</v>
      </c>
      <c r="K38" s="67">
        <f t="shared" si="16"/>
        <v>2.0805354820830933E-2</v>
      </c>
      <c r="L38" s="41">
        <f t="shared" si="12"/>
        <v>22.705507876617425</v>
      </c>
      <c r="M38" s="41">
        <f t="shared" si="13"/>
        <v>1068.6244921233827</v>
      </c>
      <c r="N38" s="5">
        <f t="shared" si="17"/>
        <v>195.30441680000007</v>
      </c>
      <c r="O38" s="3">
        <f t="shared" si="18"/>
        <v>83.145180000000011</v>
      </c>
      <c r="P38" s="45">
        <v>119.57</v>
      </c>
      <c r="Q38" s="45">
        <v>0.08</v>
      </c>
      <c r="R38" s="3">
        <f t="shared" si="14"/>
        <v>9.5655999999999999</v>
      </c>
      <c r="S38" s="5">
        <f t="shared" si="15"/>
        <v>121.72483680000006</v>
      </c>
    </row>
    <row r="39" spans="1:20" x14ac:dyDescent="0.2">
      <c r="A39" s="1">
        <v>45597</v>
      </c>
      <c r="B39" s="43">
        <v>65.53</v>
      </c>
      <c r="C39" s="43">
        <v>0.25900000000000001</v>
      </c>
      <c r="D39" s="3">
        <f t="shared" si="11"/>
        <v>16.972270000000002</v>
      </c>
      <c r="E39" s="43">
        <v>1181.8399999999999</v>
      </c>
      <c r="F39" s="43">
        <v>8.5000000000000006E-2</v>
      </c>
      <c r="G39" s="3">
        <f t="shared" si="4"/>
        <v>100.4564</v>
      </c>
      <c r="H39">
        <f t="shared" si="5"/>
        <v>1247.3699999999999</v>
      </c>
      <c r="I39" s="43">
        <v>101.36</v>
      </c>
      <c r="J39">
        <f t="shared" si="19"/>
        <v>1324.9199999999998</v>
      </c>
      <c r="K39" s="67">
        <f t="shared" si="16"/>
        <v>5.2534532656709723E-2</v>
      </c>
      <c r="L39" s="41">
        <f t="shared" si="12"/>
        <v>69.604053007527838</v>
      </c>
      <c r="M39" s="41">
        <f t="shared" si="13"/>
        <v>1255.3159469924719</v>
      </c>
      <c r="N39" s="5">
        <f t="shared" si="17"/>
        <v>237.1076832</v>
      </c>
      <c r="O39" s="3">
        <f t="shared" si="18"/>
        <v>117.42867000000001</v>
      </c>
      <c r="P39" s="45">
        <v>23.81</v>
      </c>
      <c r="Q39" s="45">
        <v>0.15</v>
      </c>
      <c r="R39" s="3">
        <f t="shared" si="14"/>
        <v>3.5714999999999999</v>
      </c>
      <c r="S39" s="5">
        <f t="shared" si="15"/>
        <v>123.25051319999999</v>
      </c>
    </row>
    <row r="40" spans="1:20" s="52" customFormat="1" ht="17" thickBot="1" x14ac:dyDescent="0.25">
      <c r="A40" s="49">
        <v>45627</v>
      </c>
      <c r="B40" s="50">
        <v>120.01</v>
      </c>
      <c r="C40" s="50">
        <v>0.25900000000000001</v>
      </c>
      <c r="D40" s="51">
        <f t="shared" si="11"/>
        <v>31.082590000000003</v>
      </c>
      <c r="E40" s="50">
        <v>1340.31</v>
      </c>
      <c r="F40" s="50">
        <v>8.5000000000000006E-2</v>
      </c>
      <c r="G40" s="51">
        <f t="shared" si="4"/>
        <v>113.92635</v>
      </c>
      <c r="H40" s="52">
        <f t="shared" si="5"/>
        <v>1460.32</v>
      </c>
      <c r="I40" s="50">
        <v>68.599999999999994</v>
      </c>
      <c r="J40" s="52">
        <f t="shared" si="19"/>
        <v>1520.9899999999998</v>
      </c>
      <c r="K40" s="68">
        <f t="shared" si="16"/>
        <v>8.2180617946751411E-2</v>
      </c>
      <c r="L40" s="53">
        <f t="shared" si="12"/>
        <v>124.99589809082941</v>
      </c>
      <c r="M40" s="53">
        <f t="shared" si="13"/>
        <v>1395.9941019091705</v>
      </c>
      <c r="N40" s="54">
        <f t="shared" si="17"/>
        <v>272.19637039999998</v>
      </c>
      <c r="O40" s="51">
        <f t="shared" si="18"/>
        <v>145.00894</v>
      </c>
      <c r="P40" s="55">
        <v>7.93</v>
      </c>
      <c r="Q40" s="55">
        <v>0.15</v>
      </c>
      <c r="R40" s="51">
        <f t="shared" si="14"/>
        <v>1.1895</v>
      </c>
      <c r="S40" s="54">
        <f t="shared" si="15"/>
        <v>128.37693039999999</v>
      </c>
    </row>
    <row r="41" spans="1:20" x14ac:dyDescent="0.2">
      <c r="A41" s="1">
        <v>45658</v>
      </c>
      <c r="B41" s="43">
        <v>182.58</v>
      </c>
      <c r="C41" s="43">
        <v>0.26269999999999999</v>
      </c>
      <c r="D41" s="3">
        <f t="shared" si="11"/>
        <v>47.963766</v>
      </c>
      <c r="E41" s="43">
        <v>1285.69</v>
      </c>
      <c r="F41" s="43">
        <v>8.5000000000000006E-2</v>
      </c>
      <c r="G41" s="3">
        <f t="shared" si="4"/>
        <v>109.28365000000001</v>
      </c>
      <c r="H41">
        <f t="shared" si="5"/>
        <v>1468.27</v>
      </c>
      <c r="I41" s="43">
        <v>148.99</v>
      </c>
      <c r="J41">
        <f t="shared" si="19"/>
        <v>1596.36</v>
      </c>
      <c r="K41" s="67">
        <f t="shared" si="16"/>
        <v>0.12435042601156464</v>
      </c>
      <c r="L41" s="41">
        <f t="shared" si="12"/>
        <v>198.50804606782131</v>
      </c>
      <c r="M41" s="41">
        <f t="shared" si="13"/>
        <v>1397.8519539321785</v>
      </c>
      <c r="N41" s="5">
        <f t="shared" si="17"/>
        <v>288.87411287999998</v>
      </c>
      <c r="O41" s="3">
        <f t="shared" si="18"/>
        <v>157.24741600000002</v>
      </c>
      <c r="P41" s="45">
        <v>20.9</v>
      </c>
      <c r="Q41" s="45">
        <v>0.15</v>
      </c>
      <c r="R41" s="3">
        <f t="shared" si="14"/>
        <v>3.1349999999999998</v>
      </c>
      <c r="S41" s="5">
        <f t="shared" si="15"/>
        <v>134.76169687999996</v>
      </c>
    </row>
    <row r="42" spans="1:20" x14ac:dyDescent="0.2">
      <c r="A42" s="1">
        <v>45689</v>
      </c>
      <c r="B42" s="43">
        <v>109.3</v>
      </c>
      <c r="C42" s="43">
        <v>0.26269999999999999</v>
      </c>
      <c r="D42" s="3">
        <f t="shared" si="11"/>
        <v>28.713109999999997</v>
      </c>
      <c r="E42" s="43">
        <v>1102.9000000000001</v>
      </c>
      <c r="F42" s="43">
        <v>8.5000000000000006E-2</v>
      </c>
      <c r="G42" s="3">
        <f t="shared" si="4"/>
        <v>93.746500000000012</v>
      </c>
      <c r="H42">
        <f t="shared" si="5"/>
        <v>1212.2</v>
      </c>
      <c r="I42" s="43">
        <v>176.07</v>
      </c>
      <c r="J42">
        <f t="shared" si="19"/>
        <v>1348.87</v>
      </c>
      <c r="K42" s="67">
        <f t="shared" si="16"/>
        <v>9.0166639168454049E-2</v>
      </c>
      <c r="L42" s="41">
        <f t="shared" si="12"/>
        <v>121.6230745751526</v>
      </c>
      <c r="M42" s="41">
        <f t="shared" si="13"/>
        <v>1227.2469254248472</v>
      </c>
      <c r="N42" s="5">
        <f t="shared" si="17"/>
        <v>244.08881746</v>
      </c>
      <c r="O42" s="3">
        <f t="shared" si="18"/>
        <v>122.45961000000001</v>
      </c>
      <c r="P42" s="45">
        <v>39.4</v>
      </c>
      <c r="Q42" s="45">
        <v>0.15</v>
      </c>
      <c r="R42" s="3">
        <f t="shared" si="14"/>
        <v>5.9099999999999993</v>
      </c>
      <c r="S42" s="5">
        <f t="shared" si="15"/>
        <v>127.53920745999999</v>
      </c>
    </row>
    <row r="43" spans="1:20" x14ac:dyDescent="0.2">
      <c r="A43" s="1">
        <v>45717</v>
      </c>
      <c r="B43" s="43">
        <v>9.48</v>
      </c>
      <c r="C43" s="43">
        <v>0.26269999999999999</v>
      </c>
      <c r="D43" s="3">
        <f t="shared" si="11"/>
        <v>2.4903960000000001</v>
      </c>
      <c r="E43" s="43">
        <v>1107.42</v>
      </c>
      <c r="F43" s="43">
        <v>8.5000000000000006E-2</v>
      </c>
      <c r="G43" s="3">
        <f t="shared" si="4"/>
        <v>94.130700000000019</v>
      </c>
      <c r="H43">
        <f t="shared" si="5"/>
        <v>1116.9000000000001</v>
      </c>
      <c r="I43" s="43">
        <v>427.66</v>
      </c>
      <c r="J43">
        <f t="shared" si="19"/>
        <v>1364.9</v>
      </c>
      <c r="K43" s="67">
        <f t="shared" si="16"/>
        <v>8.4877786731130805E-3</v>
      </c>
      <c r="L43" s="41">
        <f t="shared" si="12"/>
        <v>11.584969110932045</v>
      </c>
      <c r="M43" s="41">
        <f t="shared" si="13"/>
        <v>1353.3150308890681</v>
      </c>
      <c r="N43" s="5">
        <f t="shared" si="17"/>
        <v>246.98957420000002</v>
      </c>
      <c r="O43" s="3">
        <f t="shared" si="18"/>
        <v>96.621096000000023</v>
      </c>
      <c r="P43" s="45">
        <v>179.66</v>
      </c>
      <c r="Q43" s="45">
        <v>0.15</v>
      </c>
      <c r="R43" s="3">
        <f t="shared" si="14"/>
        <v>26.948999999999998</v>
      </c>
      <c r="S43" s="5">
        <f t="shared" si="15"/>
        <v>177.31747819999998</v>
      </c>
    </row>
    <row r="44" spans="1:20" x14ac:dyDescent="0.2">
      <c r="A44" s="1">
        <v>45748</v>
      </c>
      <c r="B44" s="43">
        <v>5.58</v>
      </c>
      <c r="C44" s="43">
        <v>0.29189999999999999</v>
      </c>
      <c r="D44" s="3">
        <f t="shared" si="11"/>
        <v>1.6288020000000001</v>
      </c>
      <c r="E44" s="43">
        <v>897.99</v>
      </c>
      <c r="F44" s="43">
        <v>8.5000000000000006E-2</v>
      </c>
      <c r="G44" s="3">
        <f t="shared" si="4"/>
        <v>76.329150000000013</v>
      </c>
      <c r="H44">
        <f t="shared" si="5"/>
        <v>903.57</v>
      </c>
      <c r="I44" s="43">
        <v>553.95000000000005</v>
      </c>
      <c r="J44">
        <f t="shared" si="19"/>
        <v>1125.31</v>
      </c>
      <c r="K44" s="67">
        <f t="shared" si="16"/>
        <v>6.1755038347886711E-3</v>
      </c>
      <c r="L44" s="41">
        <f t="shared" si="12"/>
        <v>6.9493562203260391</v>
      </c>
      <c r="M44" s="41">
        <f t="shared" si="13"/>
        <v>1118.3606437796739</v>
      </c>
      <c r="N44" s="5">
        <f t="shared" si="17"/>
        <v>221.37773506000002</v>
      </c>
      <c r="O44" s="3">
        <f t="shared" si="18"/>
        <v>77.957952000000006</v>
      </c>
      <c r="P44" s="45">
        <v>332.21</v>
      </c>
      <c r="Q44" s="45">
        <v>0.15</v>
      </c>
      <c r="R44" s="3">
        <f t="shared" si="14"/>
        <v>49.831499999999998</v>
      </c>
      <c r="S44" s="5">
        <f t="shared" si="15"/>
        <v>193.25128306000002</v>
      </c>
    </row>
    <row r="45" spans="1:20" x14ac:dyDescent="0.2">
      <c r="A45" s="1">
        <v>45778</v>
      </c>
      <c r="B45" s="43">
        <v>1.99</v>
      </c>
      <c r="C45" s="43">
        <v>0.29189999999999999</v>
      </c>
      <c r="D45" s="3">
        <f t="shared" si="11"/>
        <v>0.58088099999999998</v>
      </c>
      <c r="E45" s="43">
        <v>1102.4000000000001</v>
      </c>
      <c r="F45" s="43">
        <v>8.5000000000000006E-2</v>
      </c>
      <c r="G45" s="3">
        <f t="shared" si="4"/>
        <v>93.704000000000008</v>
      </c>
      <c r="H45">
        <f t="shared" si="5"/>
        <v>1104.3900000000001</v>
      </c>
      <c r="I45" s="43">
        <v>583.33000000000004</v>
      </c>
      <c r="J45">
        <f t="shared" si="19"/>
        <v>1034.3700000000003</v>
      </c>
      <c r="K45" s="67">
        <f t="shared" si="16"/>
        <v>1.8018996912322637E-3</v>
      </c>
      <c r="L45" s="41">
        <f t="shared" si="12"/>
        <v>1.8638309836199172</v>
      </c>
      <c r="M45" s="41">
        <f t="shared" si="13"/>
        <v>1032.5061690163805</v>
      </c>
      <c r="N45" s="5">
        <f t="shared" si="17"/>
        <v>203.48747262000006</v>
      </c>
      <c r="O45" s="3">
        <f t="shared" si="18"/>
        <v>94.284881000000013</v>
      </c>
      <c r="P45" s="45">
        <v>653.35</v>
      </c>
      <c r="Q45" s="45">
        <v>0.15</v>
      </c>
      <c r="R45" s="3">
        <f t="shared" si="14"/>
        <v>98.002499999999998</v>
      </c>
      <c r="S45" s="5">
        <f t="shared" si="15"/>
        <v>207.20509162000005</v>
      </c>
    </row>
    <row r="46" spans="1:20" x14ac:dyDescent="0.2">
      <c r="A46" s="1">
        <v>45809</v>
      </c>
      <c r="B46" s="43">
        <v>16.03</v>
      </c>
      <c r="C46" s="43">
        <v>0.29189999999999999</v>
      </c>
      <c r="D46" s="3">
        <f t="shared" si="11"/>
        <v>4.679157</v>
      </c>
      <c r="E46" s="43">
        <v>977.91</v>
      </c>
      <c r="F46" s="43">
        <v>8.5000000000000006E-2</v>
      </c>
      <c r="G46" s="3">
        <f t="shared" si="4"/>
        <v>83.122349999999997</v>
      </c>
      <c r="H46">
        <f t="shared" si="5"/>
        <v>993.93999999999994</v>
      </c>
      <c r="I46" s="43">
        <v>493.53</v>
      </c>
      <c r="J46">
        <f t="shared" si="19"/>
        <v>890.41999999999985</v>
      </c>
      <c r="K46" s="67">
        <f t="shared" si="16"/>
        <v>1.6127734068454837E-2</v>
      </c>
      <c r="L46" s="41">
        <f t="shared" si="12"/>
        <v>14.360456969233553</v>
      </c>
      <c r="M46" s="41">
        <f t="shared" si="13"/>
        <v>876.05954303076624</v>
      </c>
      <c r="N46" s="5">
        <f t="shared" si="17"/>
        <v>175.16876492</v>
      </c>
      <c r="O46" s="3">
        <f t="shared" si="18"/>
        <v>87.801507000000001</v>
      </c>
      <c r="P46" s="45">
        <v>597.04999999999995</v>
      </c>
      <c r="Q46" s="45">
        <v>0.15</v>
      </c>
      <c r="R46" s="3">
        <f t="shared" si="14"/>
        <v>89.55749999999999</v>
      </c>
      <c r="S46" s="5">
        <f t="shared" si="15"/>
        <v>176.92475791999999</v>
      </c>
    </row>
    <row r="47" spans="1:20" x14ac:dyDescent="0.2">
      <c r="A47" s="1">
        <v>45839</v>
      </c>
      <c r="D47" s="3">
        <f t="shared" si="11"/>
        <v>0</v>
      </c>
      <c r="G47" s="3">
        <f t="shared" si="4"/>
        <v>0</v>
      </c>
      <c r="H47">
        <f t="shared" si="5"/>
        <v>0</v>
      </c>
      <c r="J47">
        <f t="shared" si="19"/>
        <v>0</v>
      </c>
      <c r="K47" s="67" t="e">
        <f t="shared" si="16"/>
        <v>#DIV/0!</v>
      </c>
      <c r="L47" s="41" t="e">
        <f t="shared" si="12"/>
        <v>#DIV/0!</v>
      </c>
      <c r="M47" s="41" t="e">
        <f t="shared" si="13"/>
        <v>#DIV/0!</v>
      </c>
      <c r="N47" s="5">
        <f t="shared" si="17"/>
        <v>0</v>
      </c>
      <c r="O47" s="3">
        <f t="shared" si="18"/>
        <v>0</v>
      </c>
      <c r="R47" s="3">
        <f t="shared" si="14"/>
        <v>0</v>
      </c>
      <c r="S47" s="5">
        <f t="shared" si="15"/>
        <v>0</v>
      </c>
    </row>
    <row r="48" spans="1:20" x14ac:dyDescent="0.2">
      <c r="A48" s="1">
        <v>45870</v>
      </c>
      <c r="D48" s="3">
        <f t="shared" si="11"/>
        <v>0</v>
      </c>
      <c r="G48" s="3">
        <f t="shared" si="4"/>
        <v>0</v>
      </c>
      <c r="H48">
        <f t="shared" si="5"/>
        <v>0</v>
      </c>
      <c r="J48">
        <f t="shared" si="19"/>
        <v>0</v>
      </c>
      <c r="K48" s="67" t="e">
        <f t="shared" si="16"/>
        <v>#DIV/0!</v>
      </c>
      <c r="L48" s="41" t="e">
        <f t="shared" si="12"/>
        <v>#DIV/0!</v>
      </c>
      <c r="M48" s="41" t="e">
        <f t="shared" si="13"/>
        <v>#DIV/0!</v>
      </c>
      <c r="N48" s="5">
        <f t="shared" si="17"/>
        <v>0</v>
      </c>
      <c r="O48" s="3">
        <f t="shared" si="18"/>
        <v>0</v>
      </c>
      <c r="R48" s="3">
        <f t="shared" si="14"/>
        <v>0</v>
      </c>
      <c r="S48" s="5">
        <f t="shared" si="15"/>
        <v>0</v>
      </c>
    </row>
    <row r="49" spans="1:19" x14ac:dyDescent="0.2">
      <c r="A49" s="1">
        <v>45901</v>
      </c>
      <c r="D49" s="3">
        <f t="shared" si="11"/>
        <v>0</v>
      </c>
      <c r="G49" s="3">
        <f t="shared" si="4"/>
        <v>0</v>
      </c>
      <c r="H49">
        <f t="shared" si="5"/>
        <v>0</v>
      </c>
      <c r="J49">
        <f t="shared" si="19"/>
        <v>0</v>
      </c>
      <c r="K49" s="67" t="e">
        <f t="shared" si="16"/>
        <v>#DIV/0!</v>
      </c>
      <c r="L49" s="41" t="e">
        <f t="shared" si="12"/>
        <v>#DIV/0!</v>
      </c>
      <c r="M49" s="41" t="e">
        <f t="shared" si="13"/>
        <v>#DIV/0!</v>
      </c>
      <c r="N49" s="5">
        <f t="shared" si="17"/>
        <v>0</v>
      </c>
      <c r="O49" s="3">
        <f t="shared" si="18"/>
        <v>0</v>
      </c>
      <c r="R49" s="3">
        <f t="shared" si="14"/>
        <v>0</v>
      </c>
      <c r="S49" s="5">
        <f t="shared" si="15"/>
        <v>0</v>
      </c>
    </row>
    <row r="50" spans="1:19" x14ac:dyDescent="0.2">
      <c r="A50" s="1">
        <v>45931</v>
      </c>
      <c r="D50" s="3">
        <f t="shared" si="11"/>
        <v>0</v>
      </c>
      <c r="G50" s="3">
        <f t="shared" si="4"/>
        <v>0</v>
      </c>
      <c r="H50">
        <f t="shared" si="5"/>
        <v>0</v>
      </c>
      <c r="J50">
        <f t="shared" si="19"/>
        <v>0</v>
      </c>
      <c r="K50" s="67" t="e">
        <f t="shared" si="16"/>
        <v>#DIV/0!</v>
      </c>
      <c r="L50" s="41" t="e">
        <f t="shared" si="12"/>
        <v>#DIV/0!</v>
      </c>
      <c r="M50" s="41" t="e">
        <f t="shared" si="13"/>
        <v>#DIV/0!</v>
      </c>
      <c r="N50" s="5">
        <f t="shared" si="17"/>
        <v>0</v>
      </c>
      <c r="O50" s="3">
        <f t="shared" si="18"/>
        <v>0</v>
      </c>
      <c r="R50" s="3">
        <f t="shared" si="14"/>
        <v>0</v>
      </c>
      <c r="S50" s="5">
        <f t="shared" si="15"/>
        <v>0</v>
      </c>
    </row>
    <row r="51" spans="1:19" x14ac:dyDescent="0.2">
      <c r="A51" s="1">
        <v>45962</v>
      </c>
      <c r="D51" s="3">
        <f t="shared" si="11"/>
        <v>0</v>
      </c>
      <c r="G51" s="3">
        <f t="shared" si="4"/>
        <v>0</v>
      </c>
      <c r="H51">
        <f t="shared" si="5"/>
        <v>0</v>
      </c>
      <c r="J51">
        <f t="shared" si="19"/>
        <v>0</v>
      </c>
      <c r="K51" s="67" t="e">
        <f t="shared" si="16"/>
        <v>#DIV/0!</v>
      </c>
      <c r="L51" s="41" t="e">
        <f t="shared" si="12"/>
        <v>#DIV/0!</v>
      </c>
      <c r="M51" s="41" t="e">
        <f t="shared" si="13"/>
        <v>#DIV/0!</v>
      </c>
      <c r="N51" s="5">
        <f t="shared" si="17"/>
        <v>0</v>
      </c>
      <c r="O51" s="3">
        <f t="shared" si="18"/>
        <v>0</v>
      </c>
      <c r="R51" s="3">
        <f t="shared" si="14"/>
        <v>0</v>
      </c>
      <c r="S51" s="5">
        <f t="shared" si="15"/>
        <v>0</v>
      </c>
    </row>
    <row r="52" spans="1:19" s="52" customFormat="1" ht="17" thickBot="1" x14ac:dyDescent="0.25">
      <c r="A52" s="49">
        <v>45992</v>
      </c>
      <c r="B52" s="50"/>
      <c r="C52" s="50"/>
      <c r="D52" s="51">
        <f t="shared" si="11"/>
        <v>0</v>
      </c>
      <c r="E52" s="50"/>
      <c r="F52" s="50"/>
      <c r="G52" s="51">
        <f t="shared" si="4"/>
        <v>0</v>
      </c>
      <c r="H52" s="52">
        <f t="shared" si="5"/>
        <v>0</v>
      </c>
      <c r="I52" s="50"/>
      <c r="J52" s="52">
        <f t="shared" si="19"/>
        <v>0</v>
      </c>
      <c r="K52" s="68" t="e">
        <f t="shared" si="16"/>
        <v>#DIV/0!</v>
      </c>
      <c r="L52" s="53" t="e">
        <f t="shared" si="12"/>
        <v>#DIV/0!</v>
      </c>
      <c r="M52" s="53" t="e">
        <f t="shared" si="13"/>
        <v>#DIV/0!</v>
      </c>
      <c r="N52" s="54">
        <f t="shared" si="17"/>
        <v>0</v>
      </c>
      <c r="O52" s="51">
        <f t="shared" si="18"/>
        <v>0</v>
      </c>
      <c r="P52" s="55"/>
      <c r="Q52" s="55"/>
      <c r="R52" s="51">
        <f t="shared" si="14"/>
        <v>0</v>
      </c>
      <c r="S52" s="54">
        <f t="shared" si="15"/>
        <v>0</v>
      </c>
    </row>
    <row r="53" spans="1:19" x14ac:dyDescent="0.2">
      <c r="A53" s="1">
        <v>46023</v>
      </c>
      <c r="D53" s="3">
        <f t="shared" si="11"/>
        <v>0</v>
      </c>
      <c r="G53" s="3">
        <f t="shared" si="4"/>
        <v>0</v>
      </c>
      <c r="H53">
        <f t="shared" si="5"/>
        <v>0</v>
      </c>
      <c r="J53">
        <f t="shared" si="19"/>
        <v>0</v>
      </c>
      <c r="K53" s="67" t="e">
        <f t="shared" si="16"/>
        <v>#DIV/0!</v>
      </c>
      <c r="L53" s="41" t="e">
        <f t="shared" si="12"/>
        <v>#DIV/0!</v>
      </c>
      <c r="M53" s="41" t="e">
        <f t="shared" si="13"/>
        <v>#DIV/0!</v>
      </c>
      <c r="N53" s="5">
        <f t="shared" si="17"/>
        <v>0</v>
      </c>
      <c r="O53" s="3">
        <f t="shared" si="18"/>
        <v>0</v>
      </c>
      <c r="R53" s="3">
        <f t="shared" si="14"/>
        <v>0</v>
      </c>
      <c r="S53" s="5">
        <f t="shared" si="15"/>
        <v>0</v>
      </c>
    </row>
    <row r="54" spans="1:19" x14ac:dyDescent="0.2">
      <c r="A54" s="1">
        <v>46054</v>
      </c>
      <c r="D54" s="3">
        <f t="shared" si="11"/>
        <v>0</v>
      </c>
      <c r="G54" s="3">
        <f t="shared" si="4"/>
        <v>0</v>
      </c>
      <c r="H54">
        <f t="shared" si="5"/>
        <v>0</v>
      </c>
      <c r="J54">
        <f t="shared" si="19"/>
        <v>0</v>
      </c>
      <c r="K54" s="67" t="e">
        <f t="shared" si="16"/>
        <v>#DIV/0!</v>
      </c>
      <c r="L54" s="41" t="e">
        <f t="shared" si="12"/>
        <v>#DIV/0!</v>
      </c>
      <c r="M54" s="41" t="e">
        <f t="shared" si="13"/>
        <v>#DIV/0!</v>
      </c>
      <c r="N54" s="5">
        <f t="shared" si="17"/>
        <v>0</v>
      </c>
      <c r="O54" s="3">
        <f t="shared" si="18"/>
        <v>0</v>
      </c>
      <c r="R54" s="3">
        <f t="shared" si="14"/>
        <v>0</v>
      </c>
      <c r="S54" s="5">
        <f t="shared" si="15"/>
        <v>0</v>
      </c>
    </row>
    <row r="55" spans="1:19" x14ac:dyDescent="0.2">
      <c r="A55" s="1">
        <v>46082</v>
      </c>
      <c r="D55" s="3">
        <f t="shared" si="11"/>
        <v>0</v>
      </c>
      <c r="G55" s="3">
        <f t="shared" si="4"/>
        <v>0</v>
      </c>
      <c r="H55">
        <f t="shared" si="5"/>
        <v>0</v>
      </c>
      <c r="J55">
        <f t="shared" si="19"/>
        <v>0</v>
      </c>
      <c r="K55" s="67" t="e">
        <f t="shared" si="16"/>
        <v>#DIV/0!</v>
      </c>
      <c r="L55" s="41" t="e">
        <f t="shared" si="12"/>
        <v>#DIV/0!</v>
      </c>
      <c r="M55" s="41" t="e">
        <f t="shared" si="13"/>
        <v>#DIV/0!</v>
      </c>
      <c r="N55" s="5">
        <f t="shared" si="17"/>
        <v>0</v>
      </c>
      <c r="O55" s="3">
        <f t="shared" si="18"/>
        <v>0</v>
      </c>
      <c r="R55" s="3">
        <f t="shared" si="14"/>
        <v>0</v>
      </c>
      <c r="S55" s="5">
        <f t="shared" si="15"/>
        <v>0</v>
      </c>
    </row>
    <row r="56" spans="1:19" x14ac:dyDescent="0.2">
      <c r="A56" s="1">
        <v>46113</v>
      </c>
      <c r="D56" s="3">
        <f t="shared" si="11"/>
        <v>0</v>
      </c>
      <c r="G56" s="3">
        <f t="shared" si="4"/>
        <v>0</v>
      </c>
      <c r="H56">
        <f t="shared" si="5"/>
        <v>0</v>
      </c>
      <c r="J56">
        <f t="shared" si="19"/>
        <v>0</v>
      </c>
      <c r="K56" s="67" t="e">
        <f t="shared" si="16"/>
        <v>#DIV/0!</v>
      </c>
      <c r="L56" s="41" t="e">
        <f t="shared" si="12"/>
        <v>#DIV/0!</v>
      </c>
      <c r="M56" s="41" t="e">
        <f t="shared" si="13"/>
        <v>#DIV/0!</v>
      </c>
      <c r="N56" s="5">
        <f t="shared" si="17"/>
        <v>0</v>
      </c>
      <c r="O56" s="3">
        <f t="shared" si="18"/>
        <v>0</v>
      </c>
      <c r="R56" s="3">
        <f t="shared" si="14"/>
        <v>0</v>
      </c>
      <c r="S56" s="5">
        <f t="shared" si="15"/>
        <v>0</v>
      </c>
    </row>
    <row r="57" spans="1:19" x14ac:dyDescent="0.2">
      <c r="A57" s="1">
        <v>46143</v>
      </c>
      <c r="D57" s="3">
        <f t="shared" si="11"/>
        <v>0</v>
      </c>
      <c r="G57" s="3">
        <f t="shared" si="4"/>
        <v>0</v>
      </c>
      <c r="H57">
        <f t="shared" si="5"/>
        <v>0</v>
      </c>
      <c r="J57">
        <f t="shared" si="19"/>
        <v>0</v>
      </c>
      <c r="K57" s="67" t="e">
        <f t="shared" si="16"/>
        <v>#DIV/0!</v>
      </c>
      <c r="L57" s="41" t="e">
        <f t="shared" si="12"/>
        <v>#DIV/0!</v>
      </c>
      <c r="M57" s="41" t="e">
        <f t="shared" si="13"/>
        <v>#DIV/0!</v>
      </c>
      <c r="N57" s="5">
        <f t="shared" si="17"/>
        <v>0</v>
      </c>
      <c r="O57" s="3">
        <f t="shared" si="18"/>
        <v>0</v>
      </c>
      <c r="R57" s="3">
        <f t="shared" si="14"/>
        <v>0</v>
      </c>
      <c r="S57" s="5">
        <f t="shared" si="15"/>
        <v>0</v>
      </c>
    </row>
    <row r="58" spans="1:19" x14ac:dyDescent="0.2">
      <c r="A58" s="1">
        <v>46174</v>
      </c>
      <c r="D58" s="3">
        <f t="shared" si="11"/>
        <v>0</v>
      </c>
      <c r="G58" s="3">
        <f t="shared" si="4"/>
        <v>0</v>
      </c>
      <c r="H58">
        <f t="shared" si="5"/>
        <v>0</v>
      </c>
      <c r="J58">
        <f t="shared" si="19"/>
        <v>0</v>
      </c>
      <c r="K58" s="67" t="e">
        <f t="shared" si="16"/>
        <v>#DIV/0!</v>
      </c>
      <c r="L58" s="41" t="e">
        <f t="shared" si="12"/>
        <v>#DIV/0!</v>
      </c>
      <c r="M58" s="41" t="e">
        <f t="shared" si="13"/>
        <v>#DIV/0!</v>
      </c>
      <c r="N58" s="5">
        <f t="shared" si="17"/>
        <v>0</v>
      </c>
      <c r="O58" s="3">
        <f t="shared" si="18"/>
        <v>0</v>
      </c>
      <c r="R58" s="3">
        <f t="shared" si="14"/>
        <v>0</v>
      </c>
      <c r="S58" s="5">
        <f t="shared" si="15"/>
        <v>0</v>
      </c>
    </row>
    <row r="59" spans="1:19" x14ac:dyDescent="0.2">
      <c r="A59" s="1">
        <v>46204</v>
      </c>
      <c r="D59" s="3">
        <f t="shared" si="11"/>
        <v>0</v>
      </c>
      <c r="G59" s="3">
        <f t="shared" si="4"/>
        <v>0</v>
      </c>
      <c r="H59">
        <f t="shared" si="5"/>
        <v>0</v>
      </c>
      <c r="J59">
        <f t="shared" si="19"/>
        <v>0</v>
      </c>
      <c r="K59" s="67" t="e">
        <f t="shared" si="16"/>
        <v>#DIV/0!</v>
      </c>
      <c r="L59" s="41" t="e">
        <f t="shared" si="12"/>
        <v>#DIV/0!</v>
      </c>
      <c r="M59" s="41" t="e">
        <f t="shared" si="13"/>
        <v>#DIV/0!</v>
      </c>
      <c r="N59" s="5">
        <f t="shared" si="17"/>
        <v>0</v>
      </c>
      <c r="O59" s="3">
        <f t="shared" si="18"/>
        <v>0</v>
      </c>
      <c r="R59" s="3">
        <f t="shared" si="14"/>
        <v>0</v>
      </c>
      <c r="S59" s="5">
        <f t="shared" si="15"/>
        <v>0</v>
      </c>
    </row>
    <row r="60" spans="1:19" x14ac:dyDescent="0.2">
      <c r="A60" s="1">
        <v>46235</v>
      </c>
      <c r="D60" s="3">
        <f t="shared" si="11"/>
        <v>0</v>
      </c>
      <c r="G60" s="3">
        <f t="shared" si="4"/>
        <v>0</v>
      </c>
      <c r="H60">
        <f t="shared" si="5"/>
        <v>0</v>
      </c>
      <c r="J60">
        <f t="shared" si="19"/>
        <v>0</v>
      </c>
      <c r="K60" s="67" t="e">
        <f t="shared" si="16"/>
        <v>#DIV/0!</v>
      </c>
      <c r="L60" s="41" t="e">
        <f t="shared" si="12"/>
        <v>#DIV/0!</v>
      </c>
      <c r="M60" s="41" t="e">
        <f t="shared" si="13"/>
        <v>#DIV/0!</v>
      </c>
      <c r="N60" s="5">
        <f t="shared" si="17"/>
        <v>0</v>
      </c>
      <c r="O60" s="3">
        <f t="shared" si="18"/>
        <v>0</v>
      </c>
      <c r="R60" s="3">
        <f t="shared" si="14"/>
        <v>0</v>
      </c>
      <c r="S60" s="5">
        <f t="shared" si="15"/>
        <v>0</v>
      </c>
    </row>
    <row r="61" spans="1:19" x14ac:dyDescent="0.2">
      <c r="A61" s="1">
        <v>46266</v>
      </c>
      <c r="D61" s="3">
        <f t="shared" si="11"/>
        <v>0</v>
      </c>
      <c r="G61" s="3">
        <f t="shared" si="4"/>
        <v>0</v>
      </c>
      <c r="H61">
        <f t="shared" si="5"/>
        <v>0</v>
      </c>
      <c r="J61">
        <f t="shared" si="19"/>
        <v>0</v>
      </c>
      <c r="K61" s="67" t="e">
        <f t="shared" si="16"/>
        <v>#DIV/0!</v>
      </c>
      <c r="L61" s="41" t="e">
        <f t="shared" si="12"/>
        <v>#DIV/0!</v>
      </c>
      <c r="M61" s="41" t="e">
        <f t="shared" si="13"/>
        <v>#DIV/0!</v>
      </c>
      <c r="N61" s="5">
        <f t="shared" si="17"/>
        <v>0</v>
      </c>
      <c r="O61" s="3">
        <f t="shared" si="18"/>
        <v>0</v>
      </c>
      <c r="R61" s="3">
        <f t="shared" si="14"/>
        <v>0</v>
      </c>
      <c r="S61" s="5">
        <f t="shared" si="15"/>
        <v>0</v>
      </c>
    </row>
    <row r="62" spans="1:19" x14ac:dyDescent="0.2">
      <c r="A62" s="1">
        <v>46296</v>
      </c>
      <c r="D62" s="3">
        <f t="shared" si="11"/>
        <v>0</v>
      </c>
      <c r="G62" s="3">
        <f t="shared" si="4"/>
        <v>0</v>
      </c>
      <c r="H62">
        <f t="shared" si="5"/>
        <v>0</v>
      </c>
      <c r="J62">
        <f t="shared" si="19"/>
        <v>0</v>
      </c>
      <c r="K62" s="67" t="e">
        <f t="shared" si="16"/>
        <v>#DIV/0!</v>
      </c>
      <c r="L62" s="41" t="e">
        <f t="shared" si="12"/>
        <v>#DIV/0!</v>
      </c>
      <c r="M62" s="41" t="e">
        <f t="shared" si="13"/>
        <v>#DIV/0!</v>
      </c>
      <c r="N62" s="5">
        <f t="shared" si="17"/>
        <v>0</v>
      </c>
      <c r="O62" s="3">
        <f t="shared" si="18"/>
        <v>0</v>
      </c>
      <c r="R62" s="3">
        <f t="shared" si="14"/>
        <v>0</v>
      </c>
      <c r="S62" s="5">
        <f t="shared" si="15"/>
        <v>0</v>
      </c>
    </row>
    <row r="63" spans="1:19" x14ac:dyDescent="0.2">
      <c r="A63" s="1">
        <v>46327</v>
      </c>
      <c r="D63" s="3">
        <f t="shared" si="11"/>
        <v>0</v>
      </c>
      <c r="G63" s="3">
        <f t="shared" si="4"/>
        <v>0</v>
      </c>
      <c r="H63">
        <f t="shared" si="5"/>
        <v>0</v>
      </c>
      <c r="J63">
        <f t="shared" si="19"/>
        <v>0</v>
      </c>
      <c r="K63" s="67" t="e">
        <f t="shared" si="16"/>
        <v>#DIV/0!</v>
      </c>
      <c r="L63" s="41" t="e">
        <f t="shared" si="12"/>
        <v>#DIV/0!</v>
      </c>
      <c r="M63" s="41" t="e">
        <f t="shared" si="13"/>
        <v>#DIV/0!</v>
      </c>
      <c r="N63" s="5">
        <f t="shared" si="17"/>
        <v>0</v>
      </c>
      <c r="O63" s="3">
        <f t="shared" si="18"/>
        <v>0</v>
      </c>
      <c r="R63" s="3">
        <f t="shared" si="14"/>
        <v>0</v>
      </c>
      <c r="S63" s="5">
        <f t="shared" si="15"/>
        <v>0</v>
      </c>
    </row>
    <row r="64" spans="1:19" s="52" customFormat="1" ht="17" thickBot="1" x14ac:dyDescent="0.25">
      <c r="A64" s="49">
        <v>46357</v>
      </c>
      <c r="B64" s="50"/>
      <c r="C64" s="50"/>
      <c r="D64" s="51">
        <f t="shared" si="11"/>
        <v>0</v>
      </c>
      <c r="E64" s="50"/>
      <c r="F64" s="50"/>
      <c r="G64" s="51">
        <f t="shared" si="4"/>
        <v>0</v>
      </c>
      <c r="H64" s="52">
        <f t="shared" si="5"/>
        <v>0</v>
      </c>
      <c r="I64" s="50"/>
      <c r="J64" s="52">
        <f t="shared" si="19"/>
        <v>0</v>
      </c>
      <c r="K64" s="68" t="e">
        <f t="shared" si="16"/>
        <v>#DIV/0!</v>
      </c>
      <c r="L64" s="53" t="e">
        <f t="shared" si="12"/>
        <v>#DIV/0!</v>
      </c>
      <c r="M64" s="53" t="e">
        <f t="shared" si="13"/>
        <v>#DIV/0!</v>
      </c>
      <c r="N64" s="54">
        <f t="shared" si="17"/>
        <v>0</v>
      </c>
      <c r="O64" s="51">
        <f t="shared" si="18"/>
        <v>0</v>
      </c>
      <c r="P64" s="55"/>
      <c r="Q64" s="55"/>
      <c r="R64" s="51">
        <f t="shared" si="14"/>
        <v>0</v>
      </c>
      <c r="S64" s="54">
        <f t="shared" si="15"/>
        <v>0</v>
      </c>
    </row>
    <row r="65" spans="1:19" x14ac:dyDescent="0.2">
      <c r="A65" s="1">
        <v>46388</v>
      </c>
      <c r="D65" s="3">
        <f t="shared" si="11"/>
        <v>0</v>
      </c>
      <c r="G65" s="3">
        <f t="shared" si="4"/>
        <v>0</v>
      </c>
      <c r="H65">
        <f t="shared" si="5"/>
        <v>0</v>
      </c>
      <c r="J65">
        <f t="shared" si="19"/>
        <v>0</v>
      </c>
      <c r="K65" s="67" t="e">
        <f t="shared" si="16"/>
        <v>#DIV/0!</v>
      </c>
      <c r="L65" s="41" t="e">
        <f t="shared" si="12"/>
        <v>#DIV/0!</v>
      </c>
      <c r="M65" s="41" t="e">
        <f t="shared" si="13"/>
        <v>#DIV/0!</v>
      </c>
      <c r="N65" s="5">
        <f t="shared" si="17"/>
        <v>0</v>
      </c>
      <c r="O65" s="3">
        <f t="shared" si="18"/>
        <v>0</v>
      </c>
      <c r="R65" s="3">
        <f t="shared" si="14"/>
        <v>0</v>
      </c>
      <c r="S65" s="5">
        <f t="shared" si="15"/>
        <v>0</v>
      </c>
    </row>
    <row r="66" spans="1:19" x14ac:dyDescent="0.2">
      <c r="A66" s="1">
        <v>46419</v>
      </c>
      <c r="D66" s="3">
        <f t="shared" si="11"/>
        <v>0</v>
      </c>
      <c r="G66" s="3">
        <f t="shared" si="4"/>
        <v>0</v>
      </c>
      <c r="H66">
        <f t="shared" si="5"/>
        <v>0</v>
      </c>
      <c r="J66">
        <f t="shared" si="19"/>
        <v>0</v>
      </c>
      <c r="K66" s="67" t="e">
        <f t="shared" si="16"/>
        <v>#DIV/0!</v>
      </c>
      <c r="L66" s="41" t="e">
        <f t="shared" si="12"/>
        <v>#DIV/0!</v>
      </c>
      <c r="M66" s="41" t="e">
        <f t="shared" si="13"/>
        <v>#DIV/0!</v>
      </c>
      <c r="N66" s="5">
        <f t="shared" si="17"/>
        <v>0</v>
      </c>
      <c r="O66" s="3">
        <f t="shared" si="18"/>
        <v>0</v>
      </c>
      <c r="R66" s="3">
        <f t="shared" si="14"/>
        <v>0</v>
      </c>
      <c r="S66" s="5">
        <f t="shared" si="15"/>
        <v>0</v>
      </c>
    </row>
    <row r="67" spans="1:19" x14ac:dyDescent="0.2">
      <c r="A67" s="1">
        <v>46447</v>
      </c>
      <c r="D67" s="3">
        <f t="shared" si="11"/>
        <v>0</v>
      </c>
      <c r="G67" s="3">
        <f t="shared" si="4"/>
        <v>0</v>
      </c>
      <c r="H67">
        <f t="shared" si="5"/>
        <v>0</v>
      </c>
      <c r="J67">
        <f t="shared" si="19"/>
        <v>0</v>
      </c>
      <c r="K67" s="67" t="e">
        <f t="shared" ref="K67:K88" si="20">B67/H67</f>
        <v>#DIV/0!</v>
      </c>
      <c r="L67" s="41" t="e">
        <f t="shared" si="12"/>
        <v>#DIV/0!</v>
      </c>
      <c r="M67" s="41" t="e">
        <f t="shared" si="13"/>
        <v>#DIV/0!</v>
      </c>
      <c r="N67" s="5">
        <f t="shared" ref="N67:N88" si="21">((J67*0.54)*C67) + ((J67*0.46)*F67)</f>
        <v>0</v>
      </c>
      <c r="O67" s="3">
        <f t="shared" ref="O67:O88" si="22">D67+G67</f>
        <v>0</v>
      </c>
      <c r="R67" s="3">
        <f t="shared" si="14"/>
        <v>0</v>
      </c>
      <c r="S67" s="5">
        <f t="shared" si="15"/>
        <v>0</v>
      </c>
    </row>
    <row r="68" spans="1:19" x14ac:dyDescent="0.2">
      <c r="A68" s="1">
        <v>46478</v>
      </c>
      <c r="D68" s="3">
        <f t="shared" si="11"/>
        <v>0</v>
      </c>
      <c r="G68" s="3">
        <f t="shared" ref="G68:G88" si="23">E68*F68</f>
        <v>0</v>
      </c>
      <c r="H68">
        <f t="shared" ref="H68:H88" si="24">B68+E68</f>
        <v>0</v>
      </c>
      <c r="J68">
        <f t="shared" ref="J68:J88" si="25">(B68+E68+I68)-P68</f>
        <v>0</v>
      </c>
      <c r="K68" s="67" t="e">
        <f t="shared" si="20"/>
        <v>#DIV/0!</v>
      </c>
      <c r="L68" s="41" t="e">
        <f t="shared" si="12"/>
        <v>#DIV/0!</v>
      </c>
      <c r="M68" s="41" t="e">
        <f t="shared" si="13"/>
        <v>#DIV/0!</v>
      </c>
      <c r="N68" s="5">
        <f t="shared" si="21"/>
        <v>0</v>
      </c>
      <c r="O68" s="3">
        <f t="shared" si="22"/>
        <v>0</v>
      </c>
      <c r="R68" s="3">
        <f t="shared" si="14"/>
        <v>0</v>
      </c>
      <c r="S68" s="5">
        <f t="shared" si="15"/>
        <v>0</v>
      </c>
    </row>
    <row r="69" spans="1:19" x14ac:dyDescent="0.2">
      <c r="A69" s="1">
        <v>46508</v>
      </c>
      <c r="D69" s="3">
        <f t="shared" si="11"/>
        <v>0</v>
      </c>
      <c r="G69" s="3">
        <f t="shared" si="23"/>
        <v>0</v>
      </c>
      <c r="H69">
        <f t="shared" si="24"/>
        <v>0</v>
      </c>
      <c r="J69">
        <f t="shared" si="25"/>
        <v>0</v>
      </c>
      <c r="K69" s="67" t="e">
        <f t="shared" si="20"/>
        <v>#DIV/0!</v>
      </c>
      <c r="L69" s="41" t="e">
        <f t="shared" si="12"/>
        <v>#DIV/0!</v>
      </c>
      <c r="M69" s="41" t="e">
        <f t="shared" si="13"/>
        <v>#DIV/0!</v>
      </c>
      <c r="N69" s="5">
        <f t="shared" si="21"/>
        <v>0</v>
      </c>
      <c r="O69" s="3">
        <f t="shared" si="22"/>
        <v>0</v>
      </c>
      <c r="R69" s="3">
        <f t="shared" si="14"/>
        <v>0</v>
      </c>
      <c r="S69" s="5">
        <f t="shared" si="15"/>
        <v>0</v>
      </c>
    </row>
    <row r="70" spans="1:19" x14ac:dyDescent="0.2">
      <c r="A70" s="1">
        <v>46539</v>
      </c>
      <c r="D70" s="3">
        <f t="shared" si="11"/>
        <v>0</v>
      </c>
      <c r="G70" s="3">
        <f t="shared" si="23"/>
        <v>0</v>
      </c>
      <c r="H70">
        <f t="shared" si="24"/>
        <v>0</v>
      </c>
      <c r="J70">
        <f t="shared" si="25"/>
        <v>0</v>
      </c>
      <c r="K70" s="67" t="e">
        <f t="shared" si="20"/>
        <v>#DIV/0!</v>
      </c>
      <c r="L70" s="41" t="e">
        <f t="shared" si="12"/>
        <v>#DIV/0!</v>
      </c>
      <c r="M70" s="41" t="e">
        <f t="shared" si="13"/>
        <v>#DIV/0!</v>
      </c>
      <c r="N70" s="5">
        <f t="shared" si="21"/>
        <v>0</v>
      </c>
      <c r="O70" s="3">
        <f t="shared" si="22"/>
        <v>0</v>
      </c>
      <c r="R70" s="3">
        <f t="shared" si="14"/>
        <v>0</v>
      </c>
      <c r="S70" s="5">
        <f t="shared" si="15"/>
        <v>0</v>
      </c>
    </row>
    <row r="71" spans="1:19" x14ac:dyDescent="0.2">
      <c r="A71" s="1">
        <v>46569</v>
      </c>
      <c r="D71" s="3">
        <f t="shared" si="11"/>
        <v>0</v>
      </c>
      <c r="G71" s="3">
        <f t="shared" si="23"/>
        <v>0</v>
      </c>
      <c r="H71">
        <f t="shared" si="24"/>
        <v>0</v>
      </c>
      <c r="J71">
        <f t="shared" si="25"/>
        <v>0</v>
      </c>
      <c r="K71" s="67" t="e">
        <f t="shared" si="20"/>
        <v>#DIV/0!</v>
      </c>
      <c r="L71" s="41" t="e">
        <f t="shared" si="12"/>
        <v>#DIV/0!</v>
      </c>
      <c r="M71" s="41" t="e">
        <f t="shared" si="13"/>
        <v>#DIV/0!</v>
      </c>
      <c r="N71" s="5">
        <f t="shared" si="21"/>
        <v>0</v>
      </c>
      <c r="O71" s="3">
        <f t="shared" si="22"/>
        <v>0</v>
      </c>
      <c r="R71" s="3">
        <f t="shared" si="14"/>
        <v>0</v>
      </c>
      <c r="S71" s="5">
        <f t="shared" si="15"/>
        <v>0</v>
      </c>
    </row>
    <row r="72" spans="1:19" x14ac:dyDescent="0.2">
      <c r="A72" s="1">
        <v>46600</v>
      </c>
      <c r="D72" s="3">
        <f t="shared" si="11"/>
        <v>0</v>
      </c>
      <c r="G72" s="3">
        <f t="shared" si="23"/>
        <v>0</v>
      </c>
      <c r="H72">
        <f t="shared" si="24"/>
        <v>0</v>
      </c>
      <c r="J72">
        <f t="shared" si="25"/>
        <v>0</v>
      </c>
      <c r="K72" s="67" t="e">
        <f t="shared" si="20"/>
        <v>#DIV/0!</v>
      </c>
      <c r="L72" s="41" t="e">
        <f t="shared" si="12"/>
        <v>#DIV/0!</v>
      </c>
      <c r="M72" s="41" t="e">
        <f t="shared" si="13"/>
        <v>#DIV/0!</v>
      </c>
      <c r="N72" s="5">
        <f t="shared" si="21"/>
        <v>0</v>
      </c>
      <c r="O72" s="3">
        <f t="shared" si="22"/>
        <v>0</v>
      </c>
      <c r="R72" s="3">
        <f t="shared" si="14"/>
        <v>0</v>
      </c>
      <c r="S72" s="5">
        <f t="shared" si="15"/>
        <v>0</v>
      </c>
    </row>
    <row r="73" spans="1:19" x14ac:dyDescent="0.2">
      <c r="A73" s="1">
        <v>46631</v>
      </c>
      <c r="D73" s="3">
        <f t="shared" si="11"/>
        <v>0</v>
      </c>
      <c r="G73" s="3">
        <f t="shared" si="23"/>
        <v>0</v>
      </c>
      <c r="H73">
        <f t="shared" si="24"/>
        <v>0</v>
      </c>
      <c r="J73">
        <f t="shared" si="25"/>
        <v>0</v>
      </c>
      <c r="K73" s="67" t="e">
        <f t="shared" si="20"/>
        <v>#DIV/0!</v>
      </c>
      <c r="L73" s="41" t="e">
        <f t="shared" si="12"/>
        <v>#DIV/0!</v>
      </c>
      <c r="M73" s="41" t="e">
        <f t="shared" si="13"/>
        <v>#DIV/0!</v>
      </c>
      <c r="N73" s="5">
        <f t="shared" si="21"/>
        <v>0</v>
      </c>
      <c r="O73" s="3">
        <f t="shared" si="22"/>
        <v>0</v>
      </c>
      <c r="R73" s="3">
        <f t="shared" si="14"/>
        <v>0</v>
      </c>
      <c r="S73" s="5">
        <f t="shared" si="15"/>
        <v>0</v>
      </c>
    </row>
    <row r="74" spans="1:19" x14ac:dyDescent="0.2">
      <c r="A74" s="1">
        <v>46661</v>
      </c>
      <c r="D74" s="3">
        <f t="shared" si="11"/>
        <v>0</v>
      </c>
      <c r="G74" s="3">
        <f t="shared" si="23"/>
        <v>0</v>
      </c>
      <c r="H74">
        <f t="shared" si="24"/>
        <v>0</v>
      </c>
      <c r="J74">
        <f t="shared" si="25"/>
        <v>0</v>
      </c>
      <c r="K74" s="67" t="e">
        <f t="shared" si="20"/>
        <v>#DIV/0!</v>
      </c>
      <c r="L74" s="41" t="e">
        <f t="shared" si="12"/>
        <v>#DIV/0!</v>
      </c>
      <c r="M74" s="41" t="e">
        <f t="shared" si="13"/>
        <v>#DIV/0!</v>
      </c>
      <c r="N74" s="5">
        <f t="shared" si="21"/>
        <v>0</v>
      </c>
      <c r="O74" s="3">
        <f t="shared" si="22"/>
        <v>0</v>
      </c>
      <c r="R74" s="3">
        <f t="shared" si="14"/>
        <v>0</v>
      </c>
      <c r="S74" s="5">
        <f t="shared" si="15"/>
        <v>0</v>
      </c>
    </row>
    <row r="75" spans="1:19" x14ac:dyDescent="0.2">
      <c r="A75" s="1">
        <v>46692</v>
      </c>
      <c r="D75" s="3">
        <f t="shared" si="11"/>
        <v>0</v>
      </c>
      <c r="G75" s="3">
        <f t="shared" si="23"/>
        <v>0</v>
      </c>
      <c r="H75">
        <f t="shared" si="24"/>
        <v>0</v>
      </c>
      <c r="J75">
        <f t="shared" si="25"/>
        <v>0</v>
      </c>
      <c r="K75" s="67" t="e">
        <f t="shared" si="20"/>
        <v>#DIV/0!</v>
      </c>
      <c r="L75" s="41" t="e">
        <f t="shared" si="12"/>
        <v>#DIV/0!</v>
      </c>
      <c r="M75" s="41" t="e">
        <f t="shared" si="13"/>
        <v>#DIV/0!</v>
      </c>
      <c r="N75" s="5">
        <f t="shared" si="21"/>
        <v>0</v>
      </c>
      <c r="O75" s="3">
        <f t="shared" si="22"/>
        <v>0</v>
      </c>
      <c r="R75" s="3">
        <f t="shared" si="14"/>
        <v>0</v>
      </c>
      <c r="S75" s="5">
        <f t="shared" si="15"/>
        <v>0</v>
      </c>
    </row>
    <row r="76" spans="1:19" s="52" customFormat="1" ht="17" thickBot="1" x14ac:dyDescent="0.25">
      <c r="A76" s="49">
        <v>46722</v>
      </c>
      <c r="B76" s="50"/>
      <c r="C76" s="50"/>
      <c r="D76" s="51">
        <f t="shared" si="11"/>
        <v>0</v>
      </c>
      <c r="E76" s="50"/>
      <c r="F76" s="50"/>
      <c r="G76" s="51">
        <f t="shared" si="23"/>
        <v>0</v>
      </c>
      <c r="H76" s="52">
        <f t="shared" si="24"/>
        <v>0</v>
      </c>
      <c r="I76" s="50"/>
      <c r="J76" s="52">
        <f t="shared" si="25"/>
        <v>0</v>
      </c>
      <c r="K76" s="68" t="e">
        <f t="shared" si="20"/>
        <v>#DIV/0!</v>
      </c>
      <c r="L76" s="53" t="e">
        <f t="shared" si="12"/>
        <v>#DIV/0!</v>
      </c>
      <c r="M76" s="53" t="e">
        <f t="shared" si="13"/>
        <v>#DIV/0!</v>
      </c>
      <c r="N76" s="54">
        <f t="shared" si="21"/>
        <v>0</v>
      </c>
      <c r="O76" s="51">
        <f t="shared" si="22"/>
        <v>0</v>
      </c>
      <c r="P76" s="55"/>
      <c r="Q76" s="55"/>
      <c r="R76" s="51">
        <f t="shared" si="14"/>
        <v>0</v>
      </c>
      <c r="S76" s="54">
        <f t="shared" si="15"/>
        <v>0</v>
      </c>
    </row>
    <row r="77" spans="1:19" x14ac:dyDescent="0.2">
      <c r="A77" s="1">
        <v>46753</v>
      </c>
      <c r="D77" s="3">
        <f t="shared" si="11"/>
        <v>0</v>
      </c>
      <c r="G77" s="3">
        <f t="shared" si="23"/>
        <v>0</v>
      </c>
      <c r="H77">
        <f t="shared" si="24"/>
        <v>0</v>
      </c>
      <c r="J77">
        <f t="shared" si="25"/>
        <v>0</v>
      </c>
      <c r="K77" s="67" t="e">
        <f t="shared" si="20"/>
        <v>#DIV/0!</v>
      </c>
      <c r="L77" s="41" t="e">
        <f t="shared" si="12"/>
        <v>#DIV/0!</v>
      </c>
      <c r="M77" s="41" t="e">
        <f t="shared" si="13"/>
        <v>#DIV/0!</v>
      </c>
      <c r="N77" s="5">
        <f t="shared" si="21"/>
        <v>0</v>
      </c>
      <c r="O77" s="3">
        <f t="shared" si="22"/>
        <v>0</v>
      </c>
      <c r="R77" s="3">
        <f t="shared" si="14"/>
        <v>0</v>
      </c>
      <c r="S77" s="5">
        <f t="shared" si="15"/>
        <v>0</v>
      </c>
    </row>
    <row r="78" spans="1:19" x14ac:dyDescent="0.2">
      <c r="A78" s="1">
        <v>46784</v>
      </c>
      <c r="D78" s="3">
        <f t="shared" si="11"/>
        <v>0</v>
      </c>
      <c r="G78" s="3">
        <f t="shared" si="23"/>
        <v>0</v>
      </c>
      <c r="H78">
        <f t="shared" si="24"/>
        <v>0</v>
      </c>
      <c r="J78">
        <f t="shared" si="25"/>
        <v>0</v>
      </c>
      <c r="K78" s="67" t="e">
        <f t="shared" si="20"/>
        <v>#DIV/0!</v>
      </c>
      <c r="L78" s="41" t="e">
        <f t="shared" si="12"/>
        <v>#DIV/0!</v>
      </c>
      <c r="M78" s="41" t="e">
        <f t="shared" si="13"/>
        <v>#DIV/0!</v>
      </c>
      <c r="N78" s="5">
        <f t="shared" si="21"/>
        <v>0</v>
      </c>
      <c r="O78" s="3">
        <f t="shared" si="22"/>
        <v>0</v>
      </c>
      <c r="R78" s="3">
        <f t="shared" si="14"/>
        <v>0</v>
      </c>
      <c r="S78" s="5">
        <f t="shared" si="15"/>
        <v>0</v>
      </c>
    </row>
    <row r="79" spans="1:19" x14ac:dyDescent="0.2">
      <c r="A79" s="1">
        <v>46813</v>
      </c>
      <c r="D79" s="3">
        <f t="shared" si="11"/>
        <v>0</v>
      </c>
      <c r="G79" s="3">
        <f t="shared" si="23"/>
        <v>0</v>
      </c>
      <c r="H79">
        <f t="shared" si="24"/>
        <v>0</v>
      </c>
      <c r="J79">
        <f t="shared" si="25"/>
        <v>0</v>
      </c>
      <c r="K79" s="67" t="e">
        <f t="shared" si="20"/>
        <v>#DIV/0!</v>
      </c>
      <c r="L79" s="41" t="e">
        <f t="shared" si="12"/>
        <v>#DIV/0!</v>
      </c>
      <c r="M79" s="41" t="e">
        <f t="shared" si="13"/>
        <v>#DIV/0!</v>
      </c>
      <c r="N79" s="5">
        <f t="shared" si="21"/>
        <v>0</v>
      </c>
      <c r="O79" s="3">
        <f t="shared" si="22"/>
        <v>0</v>
      </c>
      <c r="R79" s="3">
        <f t="shared" si="14"/>
        <v>0</v>
      </c>
      <c r="S79" s="5">
        <f t="shared" si="15"/>
        <v>0</v>
      </c>
    </row>
    <row r="80" spans="1:19" x14ac:dyDescent="0.2">
      <c r="A80" s="1">
        <v>46844</v>
      </c>
      <c r="D80" s="3">
        <f t="shared" si="11"/>
        <v>0</v>
      </c>
      <c r="G80" s="3">
        <f t="shared" si="23"/>
        <v>0</v>
      </c>
      <c r="H80">
        <f t="shared" si="24"/>
        <v>0</v>
      </c>
      <c r="J80">
        <f t="shared" si="25"/>
        <v>0</v>
      </c>
      <c r="K80" s="67" t="e">
        <f t="shared" si="20"/>
        <v>#DIV/0!</v>
      </c>
      <c r="L80" s="41" t="e">
        <f t="shared" si="12"/>
        <v>#DIV/0!</v>
      </c>
      <c r="M80" s="41" t="e">
        <f t="shared" si="13"/>
        <v>#DIV/0!</v>
      </c>
      <c r="N80" s="5">
        <f t="shared" si="21"/>
        <v>0</v>
      </c>
      <c r="O80" s="3">
        <f t="shared" si="22"/>
        <v>0</v>
      </c>
      <c r="R80" s="3">
        <f t="shared" si="14"/>
        <v>0</v>
      </c>
      <c r="S80" s="5">
        <f t="shared" si="15"/>
        <v>0</v>
      </c>
    </row>
    <row r="81" spans="1:19" x14ac:dyDescent="0.2">
      <c r="A81" s="1">
        <v>46874</v>
      </c>
      <c r="D81" s="3">
        <f t="shared" ref="D81:D88" si="26">B81*C81</f>
        <v>0</v>
      </c>
      <c r="G81" s="3">
        <f t="shared" si="23"/>
        <v>0</v>
      </c>
      <c r="H81">
        <f t="shared" si="24"/>
        <v>0</v>
      </c>
      <c r="J81">
        <f t="shared" si="25"/>
        <v>0</v>
      </c>
      <c r="K81" s="67" t="e">
        <f t="shared" si="20"/>
        <v>#DIV/0!</v>
      </c>
      <c r="L81" s="41" t="e">
        <f t="shared" ref="L81:L88" si="27">J81*K81</f>
        <v>#DIV/0!</v>
      </c>
      <c r="M81" s="41" t="e">
        <f t="shared" ref="M81:M88" si="28">J81-L81</f>
        <v>#DIV/0!</v>
      </c>
      <c r="N81" s="5">
        <f t="shared" si="21"/>
        <v>0</v>
      </c>
      <c r="O81" s="3">
        <f t="shared" si="22"/>
        <v>0</v>
      </c>
      <c r="R81" s="3">
        <f t="shared" ref="R81:R88" si="29">Q81*P81</f>
        <v>0</v>
      </c>
      <c r="S81" s="5">
        <f t="shared" ref="S81:S88" si="30">N81-O81+R81</f>
        <v>0</v>
      </c>
    </row>
    <row r="82" spans="1:19" x14ac:dyDescent="0.2">
      <c r="A82" s="1">
        <v>46905</v>
      </c>
      <c r="D82" s="3">
        <f t="shared" si="26"/>
        <v>0</v>
      </c>
      <c r="G82" s="3">
        <f t="shared" si="23"/>
        <v>0</v>
      </c>
      <c r="H82">
        <f t="shared" si="24"/>
        <v>0</v>
      </c>
      <c r="J82">
        <f t="shared" si="25"/>
        <v>0</v>
      </c>
      <c r="K82" s="67" t="e">
        <f t="shared" si="20"/>
        <v>#DIV/0!</v>
      </c>
      <c r="L82" s="41" t="e">
        <f t="shared" si="27"/>
        <v>#DIV/0!</v>
      </c>
      <c r="M82" s="41" t="e">
        <f t="shared" si="28"/>
        <v>#DIV/0!</v>
      </c>
      <c r="N82" s="5">
        <f t="shared" si="21"/>
        <v>0</v>
      </c>
      <c r="O82" s="3">
        <f t="shared" si="22"/>
        <v>0</v>
      </c>
      <c r="R82" s="3">
        <f t="shared" si="29"/>
        <v>0</v>
      </c>
      <c r="S82" s="5">
        <f t="shared" si="30"/>
        <v>0</v>
      </c>
    </row>
    <row r="83" spans="1:19" x14ac:dyDescent="0.2">
      <c r="A83" s="1">
        <v>46935</v>
      </c>
      <c r="D83" s="3">
        <f t="shared" si="26"/>
        <v>0</v>
      </c>
      <c r="G83" s="3">
        <f t="shared" si="23"/>
        <v>0</v>
      </c>
      <c r="H83">
        <f t="shared" si="24"/>
        <v>0</v>
      </c>
      <c r="J83">
        <f t="shared" si="25"/>
        <v>0</v>
      </c>
      <c r="K83" s="67" t="e">
        <f t="shared" si="20"/>
        <v>#DIV/0!</v>
      </c>
      <c r="L83" s="41" t="e">
        <f t="shared" si="27"/>
        <v>#DIV/0!</v>
      </c>
      <c r="M83" s="41" t="e">
        <f t="shared" si="28"/>
        <v>#DIV/0!</v>
      </c>
      <c r="N83" s="5">
        <f t="shared" si="21"/>
        <v>0</v>
      </c>
      <c r="O83" s="3">
        <f t="shared" si="22"/>
        <v>0</v>
      </c>
      <c r="R83" s="3">
        <f t="shared" si="29"/>
        <v>0</v>
      </c>
      <c r="S83" s="5">
        <f t="shared" si="30"/>
        <v>0</v>
      </c>
    </row>
    <row r="84" spans="1:19" x14ac:dyDescent="0.2">
      <c r="A84" s="1">
        <v>46966</v>
      </c>
      <c r="D84" s="3">
        <f t="shared" si="26"/>
        <v>0</v>
      </c>
      <c r="G84" s="3">
        <f t="shared" si="23"/>
        <v>0</v>
      </c>
      <c r="H84">
        <f t="shared" si="24"/>
        <v>0</v>
      </c>
      <c r="J84">
        <f t="shared" si="25"/>
        <v>0</v>
      </c>
      <c r="K84" s="67" t="e">
        <f t="shared" si="20"/>
        <v>#DIV/0!</v>
      </c>
      <c r="L84" s="41" t="e">
        <f t="shared" si="27"/>
        <v>#DIV/0!</v>
      </c>
      <c r="M84" s="41" t="e">
        <f t="shared" si="28"/>
        <v>#DIV/0!</v>
      </c>
      <c r="N84" s="5">
        <f t="shared" si="21"/>
        <v>0</v>
      </c>
      <c r="O84" s="3">
        <f t="shared" si="22"/>
        <v>0</v>
      </c>
      <c r="R84" s="3">
        <f t="shared" si="29"/>
        <v>0</v>
      </c>
      <c r="S84" s="5">
        <f t="shared" si="30"/>
        <v>0</v>
      </c>
    </row>
    <row r="85" spans="1:19" x14ac:dyDescent="0.2">
      <c r="A85" s="1">
        <v>46997</v>
      </c>
      <c r="D85" s="3">
        <f t="shared" si="26"/>
        <v>0</v>
      </c>
      <c r="G85" s="3">
        <f t="shared" si="23"/>
        <v>0</v>
      </c>
      <c r="H85">
        <f t="shared" si="24"/>
        <v>0</v>
      </c>
      <c r="J85">
        <f t="shared" si="25"/>
        <v>0</v>
      </c>
      <c r="K85" s="67" t="e">
        <f t="shared" si="20"/>
        <v>#DIV/0!</v>
      </c>
      <c r="L85" s="41" t="e">
        <f t="shared" si="27"/>
        <v>#DIV/0!</v>
      </c>
      <c r="M85" s="41" t="e">
        <f t="shared" si="28"/>
        <v>#DIV/0!</v>
      </c>
      <c r="N85" s="5">
        <f t="shared" si="21"/>
        <v>0</v>
      </c>
      <c r="O85" s="3">
        <f t="shared" si="22"/>
        <v>0</v>
      </c>
      <c r="R85" s="3">
        <f t="shared" si="29"/>
        <v>0</v>
      </c>
      <c r="S85" s="5">
        <f t="shared" si="30"/>
        <v>0</v>
      </c>
    </row>
    <row r="86" spans="1:19" x14ac:dyDescent="0.2">
      <c r="A86" s="1">
        <v>47027</v>
      </c>
      <c r="D86" s="3">
        <f t="shared" si="26"/>
        <v>0</v>
      </c>
      <c r="G86" s="3">
        <f t="shared" si="23"/>
        <v>0</v>
      </c>
      <c r="H86">
        <f t="shared" si="24"/>
        <v>0</v>
      </c>
      <c r="J86">
        <f t="shared" si="25"/>
        <v>0</v>
      </c>
      <c r="K86" s="67" t="e">
        <f t="shared" si="20"/>
        <v>#DIV/0!</v>
      </c>
      <c r="L86" s="41" t="e">
        <f t="shared" si="27"/>
        <v>#DIV/0!</v>
      </c>
      <c r="M86" s="41" t="e">
        <f t="shared" si="28"/>
        <v>#DIV/0!</v>
      </c>
      <c r="N86" s="5">
        <f t="shared" si="21"/>
        <v>0</v>
      </c>
      <c r="O86" s="3">
        <f t="shared" si="22"/>
        <v>0</v>
      </c>
      <c r="R86" s="3">
        <f t="shared" si="29"/>
        <v>0</v>
      </c>
      <c r="S86" s="5">
        <f t="shared" si="30"/>
        <v>0</v>
      </c>
    </row>
    <row r="87" spans="1:19" x14ac:dyDescent="0.2">
      <c r="A87" s="1">
        <v>47058</v>
      </c>
      <c r="D87" s="3">
        <f t="shared" si="26"/>
        <v>0</v>
      </c>
      <c r="G87" s="3">
        <f t="shared" si="23"/>
        <v>0</v>
      </c>
      <c r="H87">
        <f t="shared" si="24"/>
        <v>0</v>
      </c>
      <c r="J87">
        <f t="shared" si="25"/>
        <v>0</v>
      </c>
      <c r="K87" s="67" t="e">
        <f t="shared" si="20"/>
        <v>#DIV/0!</v>
      </c>
      <c r="L87" s="41" t="e">
        <f t="shared" si="27"/>
        <v>#DIV/0!</v>
      </c>
      <c r="M87" s="41" t="e">
        <f t="shared" si="28"/>
        <v>#DIV/0!</v>
      </c>
      <c r="N87" s="5">
        <f t="shared" si="21"/>
        <v>0</v>
      </c>
      <c r="O87" s="3">
        <f t="shared" si="22"/>
        <v>0</v>
      </c>
      <c r="R87" s="3">
        <f t="shared" si="29"/>
        <v>0</v>
      </c>
      <c r="S87" s="5">
        <f t="shared" si="30"/>
        <v>0</v>
      </c>
    </row>
    <row r="88" spans="1:19" x14ac:dyDescent="0.2">
      <c r="A88" s="1">
        <v>47088</v>
      </c>
      <c r="D88" s="3">
        <f t="shared" si="26"/>
        <v>0</v>
      </c>
      <c r="G88" s="3">
        <f t="shared" si="23"/>
        <v>0</v>
      </c>
      <c r="H88">
        <f t="shared" si="24"/>
        <v>0</v>
      </c>
      <c r="J88">
        <f t="shared" si="25"/>
        <v>0</v>
      </c>
      <c r="K88" s="67" t="e">
        <f t="shared" si="20"/>
        <v>#DIV/0!</v>
      </c>
      <c r="L88" s="41" t="e">
        <f t="shared" si="27"/>
        <v>#DIV/0!</v>
      </c>
      <c r="M88" s="41" t="e">
        <f t="shared" si="28"/>
        <v>#DIV/0!</v>
      </c>
      <c r="N88" s="5">
        <f t="shared" si="21"/>
        <v>0</v>
      </c>
      <c r="O88" s="3">
        <f t="shared" si="22"/>
        <v>0</v>
      </c>
      <c r="R88" s="3">
        <f t="shared" si="29"/>
        <v>0</v>
      </c>
      <c r="S88" s="5">
        <f t="shared" si="30"/>
        <v>0</v>
      </c>
    </row>
  </sheetData>
  <mergeCells count="3">
    <mergeCell ref="B1:D1"/>
    <mergeCell ref="E1:G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</vt:lpstr>
      <vt:lpstr>Demand v Grid</vt:lpstr>
      <vt:lpstr>Annual Summary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Oliver Shingler</cp:lastModifiedBy>
  <dcterms:created xsi:type="dcterms:W3CDTF">2022-06-23T11:46:18Z</dcterms:created>
  <dcterms:modified xsi:type="dcterms:W3CDTF">2025-07-12T11:33:13Z</dcterms:modified>
</cp:coreProperties>
</file>